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/Users/edriclim/Desktop/Project/Stripe Project/"/>
    </mc:Choice>
  </mc:AlternateContent>
  <xr:revisionPtr revIDLastSave="0" documentId="13_ncr:1_{6525F762-3E51-C044-B14F-6A8D6D575008}" xr6:coauthVersionLast="47" xr6:coauthVersionMax="47" xr10:uidLastSave="{00000000-0000-0000-0000-000000000000}"/>
  <bookViews>
    <workbookView xWindow="0" yWindow="660" windowWidth="29400" windowHeight="18460" activeTab="6" xr2:uid="{CCD134D2-6A4D-1A45-AE58-06B6ADD74989}"/>
  </bookViews>
  <sheets>
    <sheet name="Cover" sheetId="1" r:id="rId1"/>
    <sheet name="1. Assumptions" sheetId="2" r:id="rId2"/>
    <sheet name="2. TPV + Revenue" sheetId="3" r:id="rId3"/>
    <sheet name="3. Financial Forecast" sheetId="4" r:id="rId4"/>
    <sheet name="4. Comparable Companies" sheetId="5" r:id="rId5"/>
    <sheet name="5. DCF Valuation " sheetId="6" r:id="rId6"/>
    <sheet name="6. Valuation Summary" sheetId="7" r:id="rId7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7" l="1"/>
  <c r="B48" i="7"/>
  <c r="C48" i="7"/>
  <c r="D48" i="7"/>
  <c r="E49" i="7"/>
  <c r="B27" i="7"/>
  <c r="G24" i="5"/>
  <c r="B23" i="7"/>
  <c r="C15" i="7"/>
  <c r="C16" i="7"/>
  <c r="D15" i="7"/>
  <c r="K16" i="6"/>
  <c r="J16" i="6"/>
  <c r="I16" i="6"/>
  <c r="E21" i="5"/>
  <c r="E20" i="5"/>
  <c r="E19" i="5"/>
  <c r="C21" i="5"/>
  <c r="C20" i="5"/>
  <c r="C19" i="5"/>
  <c r="B21" i="5"/>
  <c r="B20" i="5"/>
  <c r="B19" i="5"/>
  <c r="F16" i="5"/>
  <c r="G16" i="5" s="1"/>
  <c r="D16" i="5"/>
  <c r="F15" i="5"/>
  <c r="G15" i="5" s="1"/>
  <c r="D15" i="5"/>
  <c r="F12" i="5"/>
  <c r="G12" i="5" s="1"/>
  <c r="D12" i="5"/>
  <c r="D11" i="5"/>
  <c r="F11" i="5"/>
  <c r="G11" i="5" s="1"/>
  <c r="F8" i="5"/>
  <c r="G8" i="5" s="1"/>
  <c r="D8" i="5"/>
  <c r="F7" i="5"/>
  <c r="D7" i="5"/>
  <c r="F6" i="5"/>
  <c r="G6" i="5" s="1"/>
  <c r="G21" i="5" s="1"/>
  <c r="K7" i="4"/>
  <c r="J7" i="4"/>
  <c r="I7" i="4"/>
  <c r="H7" i="4"/>
  <c r="G7" i="4"/>
  <c r="F7" i="4"/>
  <c r="E7" i="4"/>
  <c r="D7" i="4"/>
  <c r="C7" i="4"/>
  <c r="B16" i="7" s="1"/>
  <c r="B7" i="4"/>
  <c r="K11" i="3"/>
  <c r="J11" i="3"/>
  <c r="I11" i="3"/>
  <c r="H11" i="3"/>
  <c r="G11" i="3"/>
  <c r="F11" i="3"/>
  <c r="E11" i="3"/>
  <c r="D11" i="3"/>
  <c r="C11" i="3"/>
  <c r="B11" i="3"/>
  <c r="K8" i="3"/>
  <c r="J8" i="3"/>
  <c r="I8" i="3"/>
  <c r="H8" i="3"/>
  <c r="G8" i="3"/>
  <c r="K6" i="3"/>
  <c r="J6" i="3"/>
  <c r="I6" i="3"/>
  <c r="H6" i="3"/>
  <c r="G6" i="3"/>
  <c r="D6" i="3"/>
  <c r="E6" i="3"/>
  <c r="F6" i="3"/>
  <c r="B30" i="2"/>
  <c r="H16" i="6" s="1"/>
  <c r="B28" i="5"/>
  <c r="D16" i="7" l="1"/>
  <c r="F19" i="5"/>
  <c r="F20" i="5"/>
  <c r="F21" i="5"/>
  <c r="G16" i="6"/>
  <c r="C17" i="7"/>
  <c r="D17" i="7"/>
  <c r="G7" i="5"/>
  <c r="G36" i="7"/>
  <c r="G35" i="7"/>
  <c r="F36" i="7"/>
  <c r="F35" i="7"/>
  <c r="E36" i="7"/>
  <c r="E35" i="7"/>
  <c r="D36" i="7"/>
  <c r="D35" i="7"/>
  <c r="C36" i="7"/>
  <c r="C35" i="7"/>
  <c r="G34" i="7"/>
  <c r="F34" i="7"/>
  <c r="E34" i="7"/>
  <c r="D34" i="7"/>
  <c r="C34" i="7"/>
  <c r="B36" i="7"/>
  <c r="B35" i="7"/>
  <c r="B34" i="7"/>
  <c r="G33" i="7"/>
  <c r="F33" i="7"/>
  <c r="E33" i="7"/>
  <c r="D33" i="7"/>
  <c r="C33" i="7"/>
  <c r="B33" i="7"/>
  <c r="B32" i="7"/>
  <c r="G32" i="7"/>
  <c r="F32" i="7"/>
  <c r="E32" i="7"/>
  <c r="D32" i="7"/>
  <c r="C32" i="7"/>
  <c r="D8" i="7"/>
  <c r="B10" i="7"/>
  <c r="B53" i="7" s="1"/>
  <c r="B22" i="6"/>
  <c r="B21" i="6"/>
  <c r="F16" i="6"/>
  <c r="B16" i="6"/>
  <c r="C16" i="6"/>
  <c r="F8" i="3"/>
  <c r="E16" i="6"/>
  <c r="D16" i="6"/>
  <c r="C24" i="5"/>
  <c r="D24" i="5" s="1"/>
  <c r="G19" i="5" l="1"/>
  <c r="G20" i="5"/>
  <c r="D6" i="5"/>
  <c r="E8" i="3"/>
  <c r="D8" i="3"/>
  <c r="C8" i="3"/>
  <c r="C6" i="3"/>
  <c r="B5" i="3"/>
  <c r="B7" i="3" s="1"/>
  <c r="B8" i="3"/>
  <c r="D19" i="5" l="1"/>
  <c r="D21" i="5"/>
  <c r="D20" i="5"/>
  <c r="B9" i="3"/>
  <c r="B12" i="3" s="1"/>
  <c r="C5" i="3"/>
  <c r="C7" i="3" s="1"/>
  <c r="C9" i="3" s="1"/>
  <c r="C12" i="3" s="1"/>
  <c r="B5" i="4" l="1"/>
  <c r="C5" i="4"/>
  <c r="D5" i="3"/>
  <c r="D7" i="3" s="1"/>
  <c r="D9" i="3" s="1"/>
  <c r="D12" i="3" s="1"/>
  <c r="B6" i="4"/>
  <c r="C10" i="3"/>
  <c r="B15" i="7" s="1"/>
  <c r="B17" i="7" s="1"/>
  <c r="C18" i="7" l="1"/>
  <c r="B18" i="7"/>
  <c r="D18" i="7"/>
  <c r="B27" i="5"/>
  <c r="B29" i="5" s="1"/>
  <c r="B6" i="7" s="1"/>
  <c r="D6" i="7" s="1"/>
  <c r="C13" i="4"/>
  <c r="C9" i="6" s="1"/>
  <c r="C8" i="4"/>
  <c r="C10" i="6" s="1"/>
  <c r="C12" i="4"/>
  <c r="C8" i="6" s="1"/>
  <c r="B13" i="4"/>
  <c r="B9" i="6" s="1"/>
  <c r="B12" i="4"/>
  <c r="B8" i="6" s="1"/>
  <c r="B8" i="4"/>
  <c r="B10" i="6" s="1"/>
  <c r="D5" i="4"/>
  <c r="D10" i="3"/>
  <c r="B6" i="6"/>
  <c r="E5" i="3"/>
  <c r="C6" i="4"/>
  <c r="B9" i="4" l="1"/>
  <c r="B10" i="4"/>
  <c r="B7" i="6" s="1"/>
  <c r="D12" i="4"/>
  <c r="D8" i="6" s="1"/>
  <c r="D13" i="4"/>
  <c r="D9" i="6" s="1"/>
  <c r="D8" i="4"/>
  <c r="D10" i="6" s="1"/>
  <c r="E7" i="3"/>
  <c r="E9" i="3" s="1"/>
  <c r="E12" i="3" s="1"/>
  <c r="F5" i="3"/>
  <c r="B11" i="4"/>
  <c r="B14" i="4" s="1"/>
  <c r="B11" i="6" s="1"/>
  <c r="B17" i="6" s="1"/>
  <c r="C6" i="6"/>
  <c r="C9" i="4"/>
  <c r="C10" i="4" s="1"/>
  <c r="C7" i="6" s="1"/>
  <c r="F7" i="3" l="1"/>
  <c r="F9" i="3" s="1"/>
  <c r="F12" i="3" s="1"/>
  <c r="G5" i="3"/>
  <c r="F5" i="4"/>
  <c r="F10" i="3"/>
  <c r="E10" i="3"/>
  <c r="E5" i="4"/>
  <c r="D6" i="4"/>
  <c r="F13" i="4" l="1"/>
  <c r="F9" i="6" s="1"/>
  <c r="F12" i="4"/>
  <c r="F8" i="6" s="1"/>
  <c r="F8" i="4"/>
  <c r="F10" i="6" s="1"/>
  <c r="E13" i="4"/>
  <c r="E9" i="6" s="1"/>
  <c r="E12" i="4"/>
  <c r="E8" i="6" s="1"/>
  <c r="E8" i="4"/>
  <c r="E10" i="6" s="1"/>
  <c r="G7" i="3"/>
  <c r="G9" i="3" s="1"/>
  <c r="H5" i="3"/>
  <c r="E6" i="4"/>
  <c r="E6" i="6" s="1"/>
  <c r="F6" i="4"/>
  <c r="C11" i="4"/>
  <c r="D9" i="4"/>
  <c r="D10" i="4" s="1"/>
  <c r="D7" i="6" s="1"/>
  <c r="D6" i="6"/>
  <c r="E9" i="4" l="1"/>
  <c r="E10" i="4" s="1"/>
  <c r="E7" i="6" s="1"/>
  <c r="I5" i="3"/>
  <c r="H7" i="3"/>
  <c r="H9" i="3" s="1"/>
  <c r="C14" i="4"/>
  <c r="C11" i="6" s="1"/>
  <c r="C17" i="6" s="1"/>
  <c r="G12" i="3"/>
  <c r="G5" i="4"/>
  <c r="G10" i="3"/>
  <c r="F9" i="4"/>
  <c r="F10" i="4" s="1"/>
  <c r="F7" i="6" s="1"/>
  <c r="F6" i="6"/>
  <c r="G13" i="4" l="1"/>
  <c r="G9" i="6" s="1"/>
  <c r="G12" i="4"/>
  <c r="G8" i="6" s="1"/>
  <c r="G8" i="4"/>
  <c r="G10" i="6" s="1"/>
  <c r="G6" i="4"/>
  <c r="H5" i="4"/>
  <c r="H12" i="3"/>
  <c r="H10" i="3"/>
  <c r="I7" i="3"/>
  <c r="I9" i="3" s="1"/>
  <c r="J5" i="3"/>
  <c r="F11" i="4"/>
  <c r="F14" i="4" s="1"/>
  <c r="F11" i="6" s="1"/>
  <c r="E11" i="4"/>
  <c r="D11" i="4"/>
  <c r="J7" i="3" l="1"/>
  <c r="J9" i="3" s="1"/>
  <c r="K5" i="3"/>
  <c r="K7" i="3" s="1"/>
  <c r="K9" i="3" s="1"/>
  <c r="H6" i="4"/>
  <c r="H13" i="4"/>
  <c r="H9" i="6" s="1"/>
  <c r="H12" i="4"/>
  <c r="H8" i="6" s="1"/>
  <c r="H8" i="4"/>
  <c r="H10" i="6" s="1"/>
  <c r="I12" i="3"/>
  <c r="I10" i="3"/>
  <c r="I5" i="4"/>
  <c r="D17" i="6"/>
  <c r="D14" i="4"/>
  <c r="D11" i="6" s="1"/>
  <c r="E14" i="4"/>
  <c r="E11" i="6" s="1"/>
  <c r="E17" i="6" s="1"/>
  <c r="G6" i="6"/>
  <c r="G9" i="4"/>
  <c r="F17" i="6"/>
  <c r="I13" i="4" l="1"/>
  <c r="I9" i="6" s="1"/>
  <c r="I12" i="4"/>
  <c r="I8" i="6" s="1"/>
  <c r="I8" i="4"/>
  <c r="I10" i="6" s="1"/>
  <c r="I6" i="4"/>
  <c r="G10" i="4"/>
  <c r="G7" i="6" s="1"/>
  <c r="H9" i="4"/>
  <c r="H6" i="6"/>
  <c r="K12" i="3"/>
  <c r="K10" i="3"/>
  <c r="K5" i="4"/>
  <c r="J5" i="4"/>
  <c r="J12" i="3"/>
  <c r="J10" i="3"/>
  <c r="G11" i="4" l="1"/>
  <c r="G14" i="4" s="1"/>
  <c r="G11" i="6" s="1"/>
  <c r="G17" i="6" s="1"/>
  <c r="J13" i="4"/>
  <c r="J9" i="6" s="1"/>
  <c r="J12" i="4"/>
  <c r="J8" i="6" s="1"/>
  <c r="J8" i="4"/>
  <c r="J10" i="6" s="1"/>
  <c r="J6" i="4"/>
  <c r="H10" i="4"/>
  <c r="H7" i="6" s="1"/>
  <c r="I9" i="4"/>
  <c r="I6" i="6"/>
  <c r="K13" i="4"/>
  <c r="K9" i="6" s="1"/>
  <c r="K12" i="4"/>
  <c r="K8" i="6" s="1"/>
  <c r="K8" i="4"/>
  <c r="K10" i="6" s="1"/>
  <c r="K6" i="4"/>
  <c r="I10" i="4" l="1"/>
  <c r="I7" i="6" s="1"/>
  <c r="H11" i="4"/>
  <c r="H14" i="4" s="1"/>
  <c r="H11" i="6" s="1"/>
  <c r="H17" i="6" s="1"/>
  <c r="J6" i="6"/>
  <c r="J9" i="4"/>
  <c r="K6" i="6"/>
  <c r="K9" i="4"/>
  <c r="K10" i="4" l="1"/>
  <c r="K7" i="6" s="1"/>
  <c r="J10" i="4"/>
  <c r="J7" i="6" s="1"/>
  <c r="J11" i="4"/>
  <c r="J14" i="4" s="1"/>
  <c r="J11" i="6" s="1"/>
  <c r="J17" i="6" s="1"/>
  <c r="I11" i="4"/>
  <c r="I14" i="4" s="1"/>
  <c r="I11" i="6" s="1"/>
  <c r="I17" i="6" s="1"/>
  <c r="K11" i="4" l="1"/>
  <c r="K14" i="4" s="1"/>
  <c r="B20" i="6" l="1"/>
  <c r="B23" i="6" s="1"/>
  <c r="B24" i="6" s="1"/>
  <c r="K11" i="6"/>
  <c r="K17" i="6" s="1"/>
  <c r="B25" i="6" s="1"/>
  <c r="B26" i="6" l="1"/>
  <c r="B7" i="7" s="1"/>
  <c r="D7" i="7" s="1"/>
  <c r="D9" i="7" s="1"/>
  <c r="E48" i="7" s="1"/>
  <c r="C9" i="1" l="1"/>
  <c r="B22" i="7"/>
  <c r="B26" i="7" s="1"/>
  <c r="B28" i="7" s="1"/>
  <c r="B11" i="7"/>
  <c r="C10" i="1" s="1"/>
  <c r="C53" i="7"/>
</calcChain>
</file>

<file path=xl/sharedStrings.xml><?xml version="1.0" encoding="utf-8"?>
<sst xmlns="http://schemas.openxmlformats.org/spreadsheetml/2006/main" count="268" uniqueCount="211">
  <si>
    <t>STRIPE INC.</t>
  </si>
  <si>
    <t>Strategic Valuation &amp; IPO Readiness Analysis</t>
  </si>
  <si>
    <t>Analyst</t>
  </si>
  <si>
    <t>Date</t>
  </si>
  <si>
    <t>Recommendation</t>
  </si>
  <si>
    <t>Current Price Valuation</t>
  </si>
  <si>
    <t>Target Valuation</t>
  </si>
  <si>
    <t>Implied Upside</t>
  </si>
  <si>
    <t>NAVIGATION</t>
  </si>
  <si>
    <t>1. Assumptions</t>
  </si>
  <si>
    <t>2. TPV + Revenue</t>
  </si>
  <si>
    <t>3. Financial Forecast</t>
  </si>
  <si>
    <t>4. Comparable Companies</t>
  </si>
  <si>
    <t>6. Valuation Summary</t>
  </si>
  <si>
    <t>5. DCF Valuation</t>
  </si>
  <si>
    <t>Edric Lim</t>
  </si>
  <si>
    <t>$159B</t>
  </si>
  <si>
    <t>STRIPE INC. — MODEL ASSUMPTIONS</t>
  </si>
  <si>
    <t>TPV Growth — 2026E</t>
  </si>
  <si>
    <t>TPV Growth — 2027E</t>
  </si>
  <si>
    <t>TPV Growth — 2028E</t>
  </si>
  <si>
    <t>Net Take Rate</t>
  </si>
  <si>
    <t>EBITDA Margin</t>
  </si>
  <si>
    <t>Tax Rate</t>
  </si>
  <si>
    <t>CapEx as % of Revenue</t>
  </si>
  <si>
    <t>D&amp;A as % of Revenue</t>
  </si>
  <si>
    <t>Change in NWC as % of Revenue</t>
  </si>
  <si>
    <t>WACC</t>
  </si>
  <si>
    <t>Terminal Growth Rate</t>
  </si>
  <si>
    <t>EV/Revenue</t>
  </si>
  <si>
    <t>EV/Revenue Multiple (Comps)</t>
  </si>
  <si>
    <t>US Federal Corporate Tax Rate 2026</t>
  </si>
  <si>
    <t>Derived via CAPM: 4.44% Risk Free Rate, 1.30 Beta, and 5.55% ERP</t>
  </si>
  <si>
    <t>Long-term nominal GDP growth</t>
  </si>
  <si>
    <t>TPV+REVENUE MODEL</t>
  </si>
  <si>
    <t>2026E</t>
  </si>
  <si>
    <t>2027E</t>
  </si>
  <si>
    <t>2028E</t>
  </si>
  <si>
    <t>TPV ($T)</t>
  </si>
  <si>
    <t>YoY TPV Growth</t>
  </si>
  <si>
    <t>TPV ($B)</t>
  </si>
  <si>
    <t>YoY Revenue Growth</t>
  </si>
  <si>
    <t>Gross Margin</t>
  </si>
  <si>
    <t>Metric</t>
  </si>
  <si>
    <t>~0.40% after interchange &amp; network fees</t>
  </si>
  <si>
    <t>Source: CB Insights / industry estimates</t>
  </si>
  <si>
    <t>N/A</t>
  </si>
  <si>
    <t>Stripe is transaction-driven — TPV drives Revenue.  Revenue = TPV × Take Rate</t>
  </si>
  <si>
    <t>Revenue ($B)</t>
  </si>
  <si>
    <t>Gross Profit ($B)</t>
  </si>
  <si>
    <t>EBITDA Margin %</t>
  </si>
  <si>
    <t>FINANCIAL FORECAST</t>
  </si>
  <si>
    <t>Analyst: Edric Lim  |  EBITDA Margin and Cost Assumptions from Tab 1</t>
  </si>
  <si>
    <t>EBITDA ($B)</t>
  </si>
  <si>
    <t>EBIT ($B)</t>
  </si>
  <si>
    <t>D&amp;A ($B)</t>
  </si>
  <si>
    <t>Tax ($B)</t>
  </si>
  <si>
    <t>NOPAT ($B)</t>
  </si>
  <si>
    <t>CapEx ($B)</t>
  </si>
  <si>
    <t>Change in NWC ($B)</t>
  </si>
  <si>
    <t>Free Cash Flow ($B)</t>
  </si>
  <si>
    <t>2025A</t>
  </si>
  <si>
    <t>Starting TPV (2025 A, $T)</t>
  </si>
  <si>
    <t>COMPARABLE COMPANY ANALYSIS</t>
  </si>
  <si>
    <t>Company</t>
  </si>
  <si>
    <t>EV ($B)</t>
  </si>
  <si>
    <t>Rev Growth</t>
  </si>
  <si>
    <t>Notes</t>
  </si>
  <si>
    <t>Adyen</t>
  </si>
  <si>
    <t>Block (SQ)</t>
  </si>
  <si>
    <t>Payoneer</t>
  </si>
  <si>
    <t>Analyst: Edric Lim  |  EV in $B  |  Source: Yahoo Finance, April 2026</t>
  </si>
  <si>
    <t>Ecosystem play; prioritizing 'Rule of 40' through 2025-2026 cost discipline</t>
  </si>
  <si>
    <t>Premium peer; high-margin unified platform with 50%+ EBITDA margins</t>
  </si>
  <si>
    <t>Shopify</t>
  </si>
  <si>
    <t>STRIPE — SUBJECT COMPANY</t>
  </si>
  <si>
    <t xml:space="preserve">Stripe Inc. </t>
  </si>
  <si>
    <t>COMPS VALUATION OUTPUT</t>
  </si>
  <si>
    <t>2026E Revenue Estimate</t>
  </si>
  <si>
    <t>Multiple Applied</t>
  </si>
  <si>
    <t>Implied Enterprise Value ($B)</t>
  </si>
  <si>
    <t>Stripe 2025 Annual Letter</t>
  </si>
  <si>
    <t>Analyst: Edric Lim  |  FCF from Tab 3  |  WACC &amp; Terminal Growth from Tab 1</t>
  </si>
  <si>
    <t>FREE CASH FLOW BUILD</t>
  </si>
  <si>
    <t>DCF VALUATION  ($B)</t>
  </si>
  <si>
    <t xml:space="preserve">From Tab 3 </t>
  </si>
  <si>
    <t>Tax on EBIT</t>
  </si>
  <si>
    <t>Using Tab 1 Assumptions</t>
  </si>
  <si>
    <t>Working Capital Outflow</t>
  </si>
  <si>
    <t>Added back (non-cash)</t>
  </si>
  <si>
    <t>NOPAT + D&amp;A - CapEx - ΔNWC</t>
  </si>
  <si>
    <t>DCF CALCULATION</t>
  </si>
  <si>
    <t>Item</t>
  </si>
  <si>
    <t>Terminal Year</t>
  </si>
  <si>
    <t>Discount Period</t>
  </si>
  <si>
    <t>Discount Factor</t>
  </si>
  <si>
    <t>PV of Free Cash Flow ($B)</t>
  </si>
  <si>
    <t>TERMINAL VALUE &amp; ENTERPRISE VALUE</t>
  </si>
  <si>
    <t>Terminal Year FCF ($B)</t>
  </si>
  <si>
    <t>Terminal Value ($B)</t>
  </si>
  <si>
    <t>PV of Terminal Value ($B)</t>
  </si>
  <si>
    <t>Sum of PV of FCF ($B)</t>
  </si>
  <si>
    <t>Enterprise Value ($B)</t>
  </si>
  <si>
    <t>TPV Growth — 2029E</t>
  </si>
  <si>
    <t>2029E</t>
  </si>
  <si>
    <t>VALUATION SUMMARY + SENSITIVITY ANALYSIS</t>
  </si>
  <si>
    <t>Method</t>
  </si>
  <si>
    <t>Implied EV ($B)</t>
  </si>
  <si>
    <t>Weight</t>
  </si>
  <si>
    <t>Weighted Value ($B)</t>
  </si>
  <si>
    <t>Comparable Companies</t>
  </si>
  <si>
    <t>DCF Valuation</t>
  </si>
  <si>
    <t>IPO Range (Base)</t>
  </si>
  <si>
    <t>Blended Target Valuation</t>
  </si>
  <si>
    <t>Current Private Valuation</t>
  </si>
  <si>
    <t>SENSITIVITY: EV/Revenue Multiple × 2029E Revenue ($B) → Implied EV ($B)</t>
  </si>
  <si>
    <t>↓ Revenue ($B)  /  Multiple →</t>
  </si>
  <si>
    <t>IPO SCENARIO ANALYSIS</t>
  </si>
  <si>
    <t>Scenario</t>
  </si>
  <si>
    <t>IPO Timing</t>
  </si>
  <si>
    <t>EV Low ($B)</t>
  </si>
  <si>
    <t>EV High ($B)</t>
  </si>
  <si>
    <t>Bear</t>
  </si>
  <si>
    <t>Base</t>
  </si>
  <si>
    <t>Bull</t>
  </si>
  <si>
    <t>TPV Growth (2026E)</t>
  </si>
  <si>
    <t>Revenue Multiple</t>
  </si>
  <si>
    <t>Overview / Executive Summary</t>
  </si>
  <si>
    <t>Key Assumptions</t>
  </si>
  <si>
    <t>Late 2026 - H1 2027</t>
  </si>
  <si>
    <t>High-margin software (Tax/billing) and AI agent commerce offset core fee compression</t>
  </si>
  <si>
    <t>Buy</t>
  </si>
  <si>
    <t>3.8x premium to peer avg (4.74x) reflecting Stripe's 26.5% growth and infrastructure moat</t>
  </si>
  <si>
    <t>TPV Growth — 2030E</t>
  </si>
  <si>
    <t>TPV Growth — 2031E</t>
  </si>
  <si>
    <t>TPV Growth — 2032E</t>
  </si>
  <si>
    <t>TPV Growth — 2033E</t>
  </si>
  <si>
    <t>TPV Growth — 2034E</t>
  </si>
  <si>
    <t>Operating Assumptions</t>
  </si>
  <si>
    <t>EBITDA Margin (2025-2027)</t>
  </si>
  <si>
    <t>EBITDA Margin (2028-2030)</t>
  </si>
  <si>
    <t>EBITDA Margin (2031-2034)</t>
  </si>
  <si>
    <t>Valuation Assumptions</t>
  </si>
  <si>
    <t>Risk Free Rate</t>
  </si>
  <si>
    <t>Beta (Levered)</t>
  </si>
  <si>
    <t xml:space="preserve">Equity Risk Premium </t>
  </si>
  <si>
    <t>Source: US 10Y Treasury, April 2026</t>
  </si>
  <si>
    <t>Estimated — unlevered fintech comps</t>
  </si>
  <si>
    <t>Source: Damodaran, January 2026</t>
  </si>
  <si>
    <t>2030E</t>
  </si>
  <si>
    <t>2031E</t>
  </si>
  <si>
    <t>2032E</t>
  </si>
  <si>
    <t>2033E</t>
  </si>
  <si>
    <t>2034E</t>
  </si>
  <si>
    <t>Group 1 - Payments Infrastructure</t>
  </si>
  <si>
    <t>Rule of 40</t>
  </si>
  <si>
    <t>Niche SMB cross-border specialist; upward market shift</t>
  </si>
  <si>
    <t>Group 2 - Payments Networks Benchmark</t>
  </si>
  <si>
    <t>Visa</t>
  </si>
  <si>
    <t>Mastercard</t>
  </si>
  <si>
    <t>Analyst: Edric Lim  |  April 2026  |  Blue = hardcoded input  |  All figures in $B unless noted</t>
  </si>
  <si>
    <t>Global card network; 67% EBITDA; infrastructure moat benchmark</t>
  </si>
  <si>
    <t>Duopoly network premium margins; best-in-class unit economics</t>
  </si>
  <si>
    <t>Group 3 - E-commerce Platforms</t>
  </si>
  <si>
    <t>Paypal</t>
  </si>
  <si>
    <t>Dominant e-commerce OS; 30%+ growth enterprise expansion</t>
  </si>
  <si>
    <t>Legacy player; margin compression; losing checkout share</t>
  </si>
  <si>
    <t>Peer Statistics</t>
  </si>
  <si>
    <t>Peer Average (All)</t>
  </si>
  <si>
    <t>Peer Median (All)</t>
  </si>
  <si>
    <t>High-Growth Peer Avg (Shopify + Adyen)</t>
  </si>
  <si>
    <t>Rule of 40 Analysis (Revenue Growth + EBITDA Margin &gt; 40 = Elite)</t>
  </si>
  <si>
    <t xml:space="preserve">Stripe(2026E) </t>
  </si>
  <si>
    <t>Revenue Growth</t>
  </si>
  <si>
    <t>Rule of 40 Score</t>
  </si>
  <si>
    <t>Assessment</t>
  </si>
  <si>
    <t>EV → Equity Value Bridge</t>
  </si>
  <si>
    <t>Enterprise Value (Blended)</t>
  </si>
  <si>
    <t>(-) Total Debt</t>
  </si>
  <si>
    <t>(-) Preferred Equity</t>
  </si>
  <si>
    <t>Shares Outstanding</t>
  </si>
  <si>
    <t>Implied Share price</t>
  </si>
  <si>
    <t>Source: industry estimates</t>
  </si>
  <si>
    <t>From weighted valuation above</t>
  </si>
  <si>
    <t>Source: Industry estimates</t>
  </si>
  <si>
    <t>(+) Cash</t>
  </si>
  <si>
    <t>Cash Estimates ($B)</t>
  </si>
  <si>
    <t>Estimated</t>
  </si>
  <si>
    <t>Equity Value / Shares</t>
  </si>
  <si>
    <t xml:space="preserve">Value </t>
  </si>
  <si>
    <t>Equity Value</t>
  </si>
  <si>
    <t>April 2026</t>
  </si>
  <si>
    <t xml:space="preserve">Analyst: Edric Lim  |  April 2026  |  10-Year Projection (2025–2034E)  </t>
  </si>
  <si>
    <t>Shares Outstanding (est, B)</t>
  </si>
  <si>
    <t>Tab Assumptions 1</t>
  </si>
  <si>
    <t>TAKE RATE SENSITIVITY: Net Take Rate → 2026E Revenue ($B) &amp; Implied EV @ 18x</t>
  </si>
  <si>
    <t>2026E Revenue ($B)</t>
  </si>
  <si>
    <t>Implied EV @ 18x ($B)</t>
  </si>
  <si>
    <t>Delta vs Base ($B)</t>
  </si>
  <si>
    <t>-2.2B</t>
  </si>
  <si>
    <t>-1.3B</t>
  </si>
  <si>
    <t>0.0B</t>
  </si>
  <si>
    <t>+0.9B</t>
  </si>
  <si>
    <t>+2.2B</t>
  </si>
  <si>
    <t>Note: 5bps compression reduces implied EV ~$11B. Risk partially offset by software mix shift (Tax, Billing, Radar) driving structural take rate floor.</t>
  </si>
  <si>
    <t>$15.3B</t>
  </si>
  <si>
    <t>$16.2B</t>
  </si>
  <si>
    <t>$17.5B</t>
  </si>
  <si>
    <t>$18.4B</t>
  </si>
  <si>
    <t>$19.7B</t>
  </si>
  <si>
    <t>HIIVE Secondary Market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</si>
</sst>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5" formatCode="&quot;$&quot;#,##0_);\(&quot;$&quot;#,##0\)"/>
    <numFmt numFmtId="7" formatCode="&quot;$&quot;#,##0.00_);\(&quot;$&quot;#,##0.00\)"/>
    <numFmt numFmtId="164" formatCode="0.0\x"/>
    <numFmt numFmtId="165" formatCode="0.0%"/>
    <numFmt numFmtId="166" formatCode="&quot;$&quot;#,##0.00"/>
    <numFmt numFmtId="167" formatCode="&quot;$&quot;#,##0.00&quot;T&quot;"/>
    <numFmt numFmtId="168" formatCode="0.00\x"/>
    <numFmt numFmtId="169" formatCode="&quot;$&quot;#,##0.0&quot;B&quot;"/>
    <numFmt numFmtId="170" formatCode="&quot;$&quot;#,##0.00&quot;B&quot;"/>
    <numFmt numFmtId="171" formatCode="0\x"/>
    <numFmt numFmtId="172" formatCode="&quot;$&quot;#,##0&quot;B&quot;"/>
    <numFmt numFmtId="173" formatCode="&quot;$&quot;#,##0.0"/>
    <numFmt numFmtId="174" formatCode="0.0"/>
    <numFmt numFmtId="175" formatCode="#,##0.0&quot;B&quot;"/>
    <numFmt numFmtId="176" formatCode="\$#,##0.00"/>
    <numFmt numFmtId="177" formatCode="\$#,##0.0\B"/>
  </numFmts>
  <fonts count="35" x14ac:knownFonts="1">
    <font>
      <sz val="12"/>
      <color theme="1"/>
      <name val="Aptos Narrow"/>
      <family val="2"/>
      <scheme val="minor"/>
    </font>
    <font>
      <b/>
      <sz val="22"/>
      <color theme="0"/>
      <name val="Arial"/>
      <family val="2"/>
    </font>
    <font>
      <sz val="13"/>
      <color theme="0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10"/>
      <color rgb="FF0000FF"/>
      <name val="Arial"/>
      <family val="2"/>
    </font>
    <font>
      <sz val="11"/>
      <color rgb="FF0000FF"/>
      <name val="Arial"/>
      <family val="2"/>
    </font>
    <font>
      <i/>
      <sz val="9"/>
      <color rgb="FF595959"/>
      <name val="Arial"/>
      <family val="2"/>
    </font>
    <font>
      <sz val="9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FFFFFF"/>
      <name val="Arial"/>
      <family val="2"/>
    </font>
    <font>
      <b/>
      <sz val="14"/>
      <color rgb="FFFFFFFF"/>
      <name val="Arial"/>
      <family val="2"/>
    </font>
    <font>
      <i/>
      <sz val="9"/>
      <color rgb="FF2F5496"/>
      <name val="Arial"/>
      <family val="2"/>
    </font>
    <font>
      <i/>
      <sz val="9"/>
      <color rgb="FFFFFF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rgb="FF595959"/>
      <name val="Arial"/>
      <family val="2"/>
    </font>
    <font>
      <b/>
      <sz val="11"/>
      <color rgb="FFFFFFFF"/>
      <name val="Arial"/>
      <family val="2"/>
    </font>
    <font>
      <sz val="12"/>
      <color rgb="FF0000FF"/>
      <name val="Aptos Narrow"/>
      <family val="2"/>
      <scheme val="minor"/>
    </font>
    <font>
      <b/>
      <sz val="12"/>
      <color theme="1"/>
      <name val="Aptos Narrow"/>
      <scheme val="minor"/>
    </font>
    <font>
      <sz val="11"/>
      <color rgb="FF000000"/>
      <name val="Arial"/>
      <family val="2"/>
    </font>
    <font>
      <b/>
      <sz val="11"/>
      <color rgb="FFFFFFFF"/>
      <name val="Cambria"/>
      <family val="1"/>
    </font>
    <font>
      <b/>
      <sz val="10"/>
      <color rgb="FFFFFFFF"/>
      <name val="Cambria"/>
      <family val="1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9C0006"/>
      <name val="Arial"/>
      <family val="2"/>
    </font>
    <font>
      <sz val="9"/>
      <color rgb="FF0061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153967"/>
        <bgColor indexed="64"/>
      </patternFill>
    </fill>
    <fill>
      <patternFill patternType="solid">
        <fgColor rgb="FF2F549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rgb="FFD9E1F2"/>
        <bgColor rgb="FFF2F2F2"/>
      </patternFill>
    </fill>
    <fill>
      <patternFill patternType="solid">
        <fgColor rgb="FF1F3864"/>
        <bgColor rgb="FF2F5496"/>
      </patternFill>
    </fill>
    <fill>
      <patternFill patternType="solid">
        <fgColor rgb="FF2F5496"/>
        <bgColor rgb="FF1F3864"/>
      </patternFill>
    </fill>
    <fill>
      <patternFill patternType="solid">
        <fgColor theme="0"/>
        <bgColor rgb="FFE2EFDA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theme="0"/>
        <bgColor rgb="FFC6EFCE"/>
      </patternFill>
    </fill>
    <fill>
      <patternFill patternType="solid">
        <fgColor theme="0"/>
        <bgColor rgb="FF2F5496"/>
      </patternFill>
    </fill>
    <fill>
      <patternFill patternType="solid">
        <fgColor rgb="FF2F5496"/>
        <bgColor rgb="FF2F5496"/>
      </patternFill>
    </fill>
    <fill>
      <patternFill patternType="solid">
        <fgColor rgb="FF153967"/>
        <bgColor rgb="FF1F3864"/>
      </patternFill>
    </fill>
    <fill>
      <patternFill patternType="solid">
        <fgColor rgb="FF153967"/>
        <bgColor rgb="FF2F5496"/>
      </patternFill>
    </fill>
    <fill>
      <patternFill patternType="solid">
        <fgColor theme="0"/>
        <bgColor rgb="FF1F3864"/>
      </patternFill>
    </fill>
    <fill>
      <patternFill patternType="solid">
        <fgColor rgb="FF1F3864"/>
        <bgColor rgb="FF153967"/>
      </patternFill>
    </fill>
    <fill>
      <patternFill patternType="solid">
        <fgColor rgb="FFD6E4F0"/>
        <bgColor rgb="FFD9E1F2"/>
      </patternFill>
    </fill>
    <fill>
      <patternFill patternType="solid">
        <fgColor rgb="FFBDD7EE"/>
        <bgColor rgb="FFCCCCCC"/>
      </patternFill>
    </fill>
  </fills>
  <borders count="16">
    <border>
      <left/>
      <right/>
      <top/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/>
      <right/>
      <top/>
      <bottom style="thin">
        <color rgb="FFAAAAAA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0" fillId="0" borderId="2" xfId="0" applyBorder="1"/>
    <xf numFmtId="0" fontId="0" fillId="0" borderId="3" xfId="0" applyBorder="1"/>
    <xf numFmtId="0" fontId="8" fillId="4" borderId="6" xfId="0" applyFont="1" applyFill="1" applyBorder="1" applyAlignment="1">
      <alignment horizontal="left" indent="1"/>
    </xf>
    <xf numFmtId="0" fontId="8" fillId="4" borderId="6" xfId="0" applyFont="1" applyFill="1" applyBorder="1"/>
    <xf numFmtId="0" fontId="8" fillId="0" borderId="6" xfId="0" applyFont="1" applyBorder="1" applyAlignment="1">
      <alignment horizontal="left" indent="1"/>
    </xf>
    <xf numFmtId="0" fontId="14" fillId="0" borderId="0" xfId="0" applyFont="1"/>
    <xf numFmtId="165" fontId="10" fillId="7" borderId="6" xfId="0" applyNumberFormat="1" applyFont="1" applyFill="1" applyBorder="1" applyAlignment="1">
      <alignment horizontal="right"/>
    </xf>
    <xf numFmtId="10" fontId="11" fillId="0" borderId="6" xfId="0" applyNumberFormat="1" applyFont="1" applyBorder="1" applyAlignment="1">
      <alignment horizontal="right"/>
    </xf>
    <xf numFmtId="0" fontId="17" fillId="8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indent="1"/>
    </xf>
    <xf numFmtId="10" fontId="5" fillId="0" borderId="6" xfId="0" applyNumberFormat="1" applyFont="1" applyBorder="1" applyAlignment="1">
      <alignment horizontal="right"/>
    </xf>
    <xf numFmtId="167" fontId="10" fillId="0" borderId="6" xfId="0" applyNumberFormat="1" applyFont="1" applyBorder="1" applyAlignment="1">
      <alignment horizontal="right"/>
    </xf>
    <xf numFmtId="165" fontId="5" fillId="0" borderId="6" xfId="0" applyNumberFormat="1" applyFont="1" applyBorder="1" applyAlignment="1">
      <alignment horizontal="right"/>
    </xf>
    <xf numFmtId="5" fontId="5" fillId="0" borderId="6" xfId="0" applyNumberFormat="1" applyFont="1" applyBorder="1" applyAlignment="1">
      <alignment horizontal="right"/>
    </xf>
    <xf numFmtId="0" fontId="5" fillId="0" borderId="6" xfId="0" applyFont="1" applyBorder="1" applyAlignment="1">
      <alignment horizontal="center"/>
    </xf>
    <xf numFmtId="0" fontId="3" fillId="0" borderId="6" xfId="0" applyFont="1" applyBorder="1" applyAlignment="1">
      <alignment horizontal="left" indent="1"/>
    </xf>
    <xf numFmtId="166" fontId="3" fillId="0" borderId="6" xfId="0" applyNumberFormat="1" applyFont="1" applyBorder="1" applyAlignment="1">
      <alignment horizontal="right"/>
    </xf>
    <xf numFmtId="7" fontId="3" fillId="0" borderId="6" xfId="0" applyNumberFormat="1" applyFont="1" applyBorder="1" applyAlignment="1">
      <alignment horizontal="right"/>
    </xf>
    <xf numFmtId="0" fontId="21" fillId="10" borderId="6" xfId="0" applyFont="1" applyFill="1" applyBorder="1" applyAlignment="1">
      <alignment horizontal="left" indent="2"/>
    </xf>
    <xf numFmtId="7" fontId="0" fillId="0" borderId="6" xfId="0" applyNumberFormat="1" applyBorder="1"/>
    <xf numFmtId="0" fontId="22" fillId="11" borderId="6" xfId="0" applyFont="1" applyFill="1" applyBorder="1" applyAlignment="1">
      <alignment horizontal="left" indent="2"/>
    </xf>
    <xf numFmtId="165" fontId="0" fillId="0" borderId="6" xfId="0" applyNumberFormat="1" applyBorder="1"/>
    <xf numFmtId="0" fontId="22" fillId="10" borderId="6" xfId="0" applyFont="1" applyFill="1" applyBorder="1" applyAlignment="1">
      <alignment horizontal="left" indent="2"/>
    </xf>
    <xf numFmtId="7" fontId="9" fillId="0" borderId="6" xfId="0" applyNumberFormat="1" applyFont="1" applyBorder="1"/>
    <xf numFmtId="0" fontId="0" fillId="0" borderId="6" xfId="0" applyBorder="1"/>
    <xf numFmtId="0" fontId="16" fillId="3" borderId="6" xfId="0" applyFont="1" applyFill="1" applyBorder="1" applyAlignment="1">
      <alignment horizontal="left" indent="1"/>
    </xf>
    <xf numFmtId="168" fontId="5" fillId="0" borderId="6" xfId="0" applyNumberFormat="1" applyFont="1" applyBorder="1"/>
    <xf numFmtId="10" fontId="5" fillId="0" borderId="6" xfId="0" applyNumberFormat="1" applyFont="1" applyBorder="1"/>
    <xf numFmtId="7" fontId="10" fillId="0" borderId="6" xfId="0" applyNumberFormat="1" applyFont="1" applyBorder="1"/>
    <xf numFmtId="10" fontId="10" fillId="0" borderId="6" xfId="0" applyNumberFormat="1" applyFont="1" applyBorder="1"/>
    <xf numFmtId="0" fontId="23" fillId="0" borderId="6" xfId="0" applyFont="1" applyBorder="1"/>
    <xf numFmtId="7" fontId="16" fillId="3" borderId="6" xfId="0" applyNumberFormat="1" applyFont="1" applyFill="1" applyBorder="1"/>
    <xf numFmtId="0" fontId="24" fillId="9" borderId="6" xfId="0" applyFont="1" applyFill="1" applyBorder="1" applyAlignment="1">
      <alignment horizontal="left" vertical="center" indent="1"/>
    </xf>
    <xf numFmtId="168" fontId="0" fillId="0" borderId="6" xfId="0" applyNumberFormat="1" applyBorder="1"/>
    <xf numFmtId="165" fontId="25" fillId="0" borderId="6" xfId="0" applyNumberFormat="1" applyFont="1" applyBorder="1"/>
    <xf numFmtId="166" fontId="0" fillId="0" borderId="6" xfId="0" applyNumberFormat="1" applyBorder="1"/>
    <xf numFmtId="170" fontId="0" fillId="0" borderId="6" xfId="0" applyNumberFormat="1" applyBorder="1"/>
    <xf numFmtId="7" fontId="5" fillId="0" borderId="6" xfId="0" applyNumberFormat="1" applyFont="1" applyBorder="1"/>
    <xf numFmtId="0" fontId="5" fillId="0" borderId="6" xfId="0" applyFont="1" applyBorder="1"/>
    <xf numFmtId="0" fontId="5" fillId="0" borderId="6" xfId="0" applyFont="1" applyBorder="1" applyAlignment="1">
      <alignment horizontal="left" indent="2"/>
    </xf>
    <xf numFmtId="10" fontId="0" fillId="0" borderId="6" xfId="0" applyNumberFormat="1" applyBorder="1"/>
    <xf numFmtId="0" fontId="12" fillId="6" borderId="6" xfId="0" applyFont="1" applyFill="1" applyBorder="1" applyAlignment="1">
      <alignment horizontal="left" indent="1"/>
    </xf>
    <xf numFmtId="165" fontId="10" fillId="6" borderId="6" xfId="0" applyNumberFormat="1" applyFont="1" applyFill="1" applyBorder="1" applyAlignment="1">
      <alignment horizontal="right"/>
    </xf>
    <xf numFmtId="0" fontId="12" fillId="0" borderId="6" xfId="0" applyFont="1" applyBorder="1" applyAlignment="1">
      <alignment horizontal="left" indent="1"/>
    </xf>
    <xf numFmtId="0" fontId="12" fillId="10" borderId="6" xfId="0" applyFont="1" applyFill="1" applyBorder="1" applyAlignment="1">
      <alignment horizontal="left" indent="1"/>
    </xf>
    <xf numFmtId="7" fontId="26" fillId="0" borderId="6" xfId="0" applyNumberFormat="1" applyFont="1" applyBorder="1"/>
    <xf numFmtId="0" fontId="10" fillId="0" borderId="6" xfId="0" applyFont="1" applyBorder="1"/>
    <xf numFmtId="0" fontId="5" fillId="0" borderId="0" xfId="0" applyFont="1"/>
    <xf numFmtId="0" fontId="3" fillId="0" borderId="0" xfId="0" applyFont="1" applyAlignment="1">
      <alignment horizontal="left" indent="1"/>
    </xf>
    <xf numFmtId="7" fontId="5" fillId="3" borderId="6" xfId="0" applyNumberFormat="1" applyFont="1" applyFill="1" applyBorder="1"/>
    <xf numFmtId="9" fontId="10" fillId="0" borderId="6" xfId="0" applyNumberFormat="1" applyFont="1" applyBorder="1"/>
    <xf numFmtId="0" fontId="17" fillId="0" borderId="0" xfId="0" applyFont="1" applyAlignment="1">
      <alignment horizontal="center"/>
    </xf>
    <xf numFmtId="171" fontId="17" fillId="8" borderId="6" xfId="0" applyNumberFormat="1" applyFont="1" applyFill="1" applyBorder="1" applyAlignment="1">
      <alignment horizontal="center"/>
    </xf>
    <xf numFmtId="172" fontId="17" fillId="9" borderId="6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left" vertical="center" indent="1"/>
    </xf>
    <xf numFmtId="172" fontId="5" fillId="12" borderId="6" xfId="0" applyNumberFormat="1" applyFont="1" applyFill="1" applyBorder="1"/>
    <xf numFmtId="0" fontId="17" fillId="0" borderId="6" xfId="0" applyFont="1" applyBorder="1" applyAlignment="1">
      <alignment vertical="center"/>
    </xf>
    <xf numFmtId="0" fontId="5" fillId="0" borderId="1" xfId="0" applyFont="1" applyBorder="1"/>
    <xf numFmtId="0" fontId="5" fillId="0" borderId="4" xfId="0" applyFont="1" applyBorder="1"/>
    <xf numFmtId="0" fontId="17" fillId="8" borderId="6" xfId="0" applyFont="1" applyFill="1" applyBorder="1" applyAlignment="1">
      <alignment vertical="center"/>
    </xf>
    <xf numFmtId="173" fontId="5" fillId="0" borderId="7" xfId="0" applyNumberFormat="1" applyFont="1" applyBorder="1"/>
    <xf numFmtId="169" fontId="5" fillId="0" borderId="6" xfId="0" applyNumberFormat="1" applyFont="1" applyBorder="1"/>
    <xf numFmtId="10" fontId="10" fillId="0" borderId="6" xfId="0" applyNumberFormat="1" applyFont="1" applyBorder="1" applyAlignment="1">
      <alignment horizontal="right" vertical="center"/>
    </xf>
    <xf numFmtId="168" fontId="10" fillId="0" borderId="6" xfId="0" applyNumberFormat="1" applyFont="1" applyBorder="1"/>
    <xf numFmtId="168" fontId="10" fillId="0" borderId="6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indent="1"/>
    </xf>
    <xf numFmtId="0" fontId="27" fillId="13" borderId="6" xfId="0" applyFont="1" applyFill="1" applyBorder="1" applyAlignment="1">
      <alignment horizontal="left" indent="1"/>
    </xf>
    <xf numFmtId="10" fontId="11" fillId="0" borderId="6" xfId="0" applyNumberFormat="1" applyFont="1" applyBorder="1"/>
    <xf numFmtId="0" fontId="7" fillId="12" borderId="6" xfId="0" applyFont="1" applyFill="1" applyBorder="1" applyAlignment="1">
      <alignment vertical="center"/>
    </xf>
    <xf numFmtId="0" fontId="8" fillId="12" borderId="6" xfId="0" applyFont="1" applyFill="1" applyBorder="1" applyAlignment="1">
      <alignment horizontal="left" indent="1"/>
    </xf>
    <xf numFmtId="165" fontId="10" fillId="10" borderId="6" xfId="0" applyNumberFormat="1" applyFont="1" applyFill="1" applyBorder="1" applyAlignment="1">
      <alignment horizontal="right"/>
    </xf>
    <xf numFmtId="0" fontId="8" fillId="12" borderId="6" xfId="0" applyFont="1" applyFill="1" applyBorder="1" applyAlignment="1">
      <alignment horizontal="left" vertical="center" indent="1"/>
    </xf>
    <xf numFmtId="10" fontId="10" fillId="12" borderId="6" xfId="0" applyNumberFormat="1" applyFont="1" applyFill="1" applyBorder="1" applyAlignment="1">
      <alignment vertical="center"/>
    </xf>
    <xf numFmtId="10" fontId="10" fillId="10" borderId="6" xfId="0" applyNumberFormat="1" applyFont="1" applyFill="1" applyBorder="1" applyAlignment="1">
      <alignment horizontal="right"/>
    </xf>
    <xf numFmtId="0" fontId="12" fillId="14" borderId="6" xfId="0" applyFont="1" applyFill="1" applyBorder="1"/>
    <xf numFmtId="2" fontId="10" fillId="12" borderId="6" xfId="0" applyNumberFormat="1" applyFont="1" applyFill="1" applyBorder="1"/>
    <xf numFmtId="0" fontId="12" fillId="12" borderId="6" xfId="0" applyFont="1" applyFill="1" applyBorder="1" applyAlignment="1">
      <alignment horizontal="left" indent="1"/>
    </xf>
    <xf numFmtId="0" fontId="12" fillId="14" borderId="6" xfId="0" applyFont="1" applyFill="1" applyBorder="1" applyAlignment="1">
      <alignment horizontal="left" indent="1"/>
    </xf>
    <xf numFmtId="10" fontId="10" fillId="12" borderId="6" xfId="0" applyNumberFormat="1" applyFont="1" applyFill="1" applyBorder="1"/>
    <xf numFmtId="165" fontId="10" fillId="12" borderId="6" xfId="0" applyNumberFormat="1" applyFont="1" applyFill="1" applyBorder="1"/>
    <xf numFmtId="164" fontId="10" fillId="11" borderId="6" xfId="0" applyNumberFormat="1" applyFont="1" applyFill="1" applyBorder="1" applyAlignment="1">
      <alignment horizontal="right"/>
    </xf>
    <xf numFmtId="7" fontId="3" fillId="0" borderId="6" xfId="0" applyNumberFormat="1" applyFont="1" applyBorder="1"/>
    <xf numFmtId="165" fontId="5" fillId="0" borderId="6" xfId="0" applyNumberFormat="1" applyFont="1" applyBorder="1"/>
    <xf numFmtId="165" fontId="10" fillId="0" borderId="6" xfId="0" applyNumberFormat="1" applyFont="1" applyBorder="1"/>
    <xf numFmtId="0" fontId="3" fillId="0" borderId="6" xfId="0" applyFont="1" applyBorder="1" applyAlignment="1">
      <alignment horizontal="center"/>
    </xf>
    <xf numFmtId="0" fontId="17" fillId="15" borderId="0" xfId="0" applyFont="1" applyFill="1" applyAlignment="1">
      <alignment horizontal="center" vertical="center"/>
    </xf>
    <xf numFmtId="0" fontId="17" fillId="15" borderId="6" xfId="0" applyFont="1" applyFill="1" applyBorder="1" applyAlignment="1">
      <alignment vertical="center"/>
    </xf>
    <xf numFmtId="0" fontId="3" fillId="15" borderId="6" xfId="0" applyFont="1" applyFill="1" applyBorder="1" applyAlignment="1">
      <alignment horizontal="left" vertical="center" indent="1"/>
    </xf>
    <xf numFmtId="0" fontId="5" fillId="15" borderId="6" xfId="0" applyFont="1" applyFill="1" applyBorder="1" applyAlignment="1">
      <alignment horizontal="left" vertical="center" indent="1"/>
    </xf>
    <xf numFmtId="10" fontId="3" fillId="15" borderId="6" xfId="0" applyNumberFormat="1" applyFont="1" applyFill="1" applyBorder="1" applyAlignment="1">
      <alignment vertical="center"/>
    </xf>
    <xf numFmtId="10" fontId="5" fillId="15" borderId="6" xfId="0" applyNumberFormat="1" applyFont="1" applyFill="1" applyBorder="1" applyAlignment="1">
      <alignment vertical="center"/>
    </xf>
    <xf numFmtId="168" fontId="5" fillId="15" borderId="6" xfId="0" applyNumberFormat="1" applyFont="1" applyFill="1" applyBorder="1" applyAlignment="1">
      <alignment vertical="center"/>
    </xf>
    <xf numFmtId="0" fontId="5" fillId="15" borderId="6" xfId="0" applyFont="1" applyFill="1" applyBorder="1" applyAlignment="1">
      <alignment vertical="center"/>
    </xf>
    <xf numFmtId="165" fontId="10" fillId="15" borderId="6" xfId="0" applyNumberFormat="1" applyFont="1" applyFill="1" applyBorder="1" applyAlignment="1">
      <alignment vertical="center"/>
    </xf>
    <xf numFmtId="0" fontId="12" fillId="0" borderId="6" xfId="0" applyFont="1" applyBorder="1"/>
    <xf numFmtId="165" fontId="10" fillId="15" borderId="6" xfId="0" applyNumberFormat="1" applyFont="1" applyFill="1" applyBorder="1" applyAlignment="1">
      <alignment horizontal="right" vertical="center"/>
    </xf>
    <xf numFmtId="165" fontId="5" fillId="15" borderId="6" xfId="0" applyNumberFormat="1" applyFont="1" applyFill="1" applyBorder="1" applyAlignment="1">
      <alignment horizontal="right" vertical="center"/>
    </xf>
    <xf numFmtId="168" fontId="5" fillId="15" borderId="6" xfId="0" applyNumberFormat="1" applyFont="1" applyFill="1" applyBorder="1" applyAlignment="1">
      <alignment horizontal="right" vertical="center"/>
    </xf>
    <xf numFmtId="10" fontId="5" fillId="15" borderId="6" xfId="0" applyNumberFormat="1" applyFont="1" applyFill="1" applyBorder="1" applyAlignment="1">
      <alignment horizontal="right" vertical="center"/>
    </xf>
    <xf numFmtId="0" fontId="3" fillId="15" borderId="8" xfId="0" applyFont="1" applyFill="1" applyBorder="1" applyAlignment="1">
      <alignment horizontal="left" vertical="center" indent="1"/>
    </xf>
    <xf numFmtId="170" fontId="10" fillId="15" borderId="8" xfId="0" applyNumberFormat="1" applyFont="1" applyFill="1" applyBorder="1" applyAlignment="1">
      <alignment horizontal="right" vertical="center"/>
    </xf>
    <xf numFmtId="164" fontId="3" fillId="15" borderId="8" xfId="0" applyNumberFormat="1" applyFont="1" applyFill="1" applyBorder="1" applyAlignment="1">
      <alignment horizontal="right" vertical="center"/>
    </xf>
    <xf numFmtId="0" fontId="3" fillId="15" borderId="8" xfId="0" applyFont="1" applyFill="1" applyBorder="1" applyAlignment="1">
      <alignment horizontal="left" vertical="center"/>
    </xf>
    <xf numFmtId="0" fontId="10" fillId="0" borderId="8" xfId="0" applyFont="1" applyBorder="1"/>
    <xf numFmtId="10" fontId="5" fillId="0" borderId="0" xfId="0" applyNumberFormat="1" applyFont="1"/>
    <xf numFmtId="7" fontId="5" fillId="0" borderId="0" xfId="0" applyNumberFormat="1" applyFont="1"/>
    <xf numFmtId="0" fontId="12" fillId="10" borderId="0" xfId="0" applyFont="1" applyFill="1" applyAlignment="1">
      <alignment horizontal="left" indent="1"/>
    </xf>
    <xf numFmtId="0" fontId="17" fillId="16" borderId="6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165" fontId="5" fillId="15" borderId="6" xfId="0" applyNumberFormat="1" applyFont="1" applyFill="1" applyBorder="1" applyAlignment="1">
      <alignment vertical="center"/>
    </xf>
    <xf numFmtId="165" fontId="3" fillId="15" borderId="6" xfId="0" applyNumberFormat="1" applyFont="1" applyFill="1" applyBorder="1" applyAlignment="1">
      <alignment vertical="center"/>
    </xf>
    <xf numFmtId="0" fontId="5" fillId="15" borderId="0" xfId="0" applyFont="1" applyFill="1" applyAlignment="1">
      <alignment horizontal="left" vertical="center" indent="1"/>
    </xf>
    <xf numFmtId="0" fontId="5" fillId="15" borderId="0" xfId="0" applyFont="1" applyFill="1" applyAlignment="1">
      <alignment vertical="center"/>
    </xf>
    <xf numFmtId="0" fontId="3" fillId="15" borderId="0" xfId="0" applyFont="1" applyFill="1" applyAlignment="1">
      <alignment vertical="center"/>
    </xf>
    <xf numFmtId="0" fontId="3" fillId="15" borderId="0" xfId="0" applyFont="1" applyFill="1" applyAlignment="1">
      <alignment horizontal="center" vertical="center"/>
    </xf>
    <xf numFmtId="0" fontId="24" fillId="19" borderId="0" xfId="0" applyFont="1" applyFill="1" applyAlignment="1">
      <alignment horizontal="left" vertical="center"/>
    </xf>
    <xf numFmtId="0" fontId="24" fillId="17" borderId="6" xfId="0" applyFont="1" applyFill="1" applyBorder="1" applyAlignment="1">
      <alignment horizontal="center" vertical="center"/>
    </xf>
    <xf numFmtId="0" fontId="3" fillId="19" borderId="6" xfId="0" applyFont="1" applyFill="1" applyBorder="1" applyAlignment="1">
      <alignment horizontal="left" vertical="center"/>
    </xf>
    <xf numFmtId="0" fontId="24" fillId="19" borderId="0" xfId="0" applyFont="1" applyFill="1" applyAlignment="1">
      <alignment vertical="center"/>
    </xf>
    <xf numFmtId="7" fontId="5" fillId="12" borderId="0" xfId="0" applyNumberFormat="1" applyFont="1" applyFill="1"/>
    <xf numFmtId="0" fontId="24" fillId="19" borderId="0" xfId="0" applyFont="1" applyFill="1" applyAlignment="1">
      <alignment horizontal="center" vertical="center"/>
    </xf>
    <xf numFmtId="0" fontId="3" fillId="19" borderId="8" xfId="0" applyFont="1" applyFill="1" applyBorder="1" applyAlignment="1">
      <alignment horizontal="left" vertical="center"/>
    </xf>
    <xf numFmtId="0" fontId="5" fillId="19" borderId="6" xfId="0" applyFont="1" applyFill="1" applyBorder="1" applyAlignment="1">
      <alignment horizontal="left" vertical="center"/>
    </xf>
    <xf numFmtId="0" fontId="8" fillId="12" borderId="0" xfId="0" applyFont="1" applyFill="1" applyAlignment="1">
      <alignment horizontal="left" indent="1"/>
    </xf>
    <xf numFmtId="0" fontId="0" fillId="0" borderId="6" xfId="0" applyBorder="1" applyAlignment="1">
      <alignment horizontal="left" indent="1"/>
    </xf>
    <xf numFmtId="174" fontId="10" fillId="11" borderId="6" xfId="0" applyNumberFormat="1" applyFont="1" applyFill="1" applyBorder="1" applyAlignment="1">
      <alignment horizontal="right"/>
    </xf>
    <xf numFmtId="7" fontId="5" fillId="19" borderId="6" xfId="0" applyNumberFormat="1" applyFont="1" applyFill="1" applyBorder="1" applyAlignment="1">
      <alignment horizontal="right" vertical="center"/>
    </xf>
    <xf numFmtId="174" fontId="10" fillId="19" borderId="6" xfId="0" applyNumberFormat="1" applyFont="1" applyFill="1" applyBorder="1" applyAlignment="1">
      <alignment horizontal="right" vertical="center"/>
    </xf>
    <xf numFmtId="166" fontId="0" fillId="0" borderId="0" xfId="0" applyNumberFormat="1"/>
    <xf numFmtId="0" fontId="5" fillId="0" borderId="0" xfId="0" applyFont="1" applyAlignment="1">
      <alignment horizontal="left" indent="2"/>
    </xf>
    <xf numFmtId="7" fontId="0" fillId="0" borderId="0" xfId="0" applyNumberFormat="1"/>
    <xf numFmtId="0" fontId="19" fillId="0" borderId="0" xfId="0" applyFont="1"/>
    <xf numFmtId="165" fontId="10" fillId="6" borderId="0" xfId="0" applyNumberFormat="1" applyFont="1" applyFill="1" applyAlignment="1">
      <alignment horizontal="right"/>
    </xf>
    <xf numFmtId="0" fontId="12" fillId="0" borderId="0" xfId="0" applyFont="1" applyAlignment="1">
      <alignment horizontal="left" indent="1"/>
    </xf>
    <xf numFmtId="165" fontId="10" fillId="10" borderId="0" xfId="0" applyNumberFormat="1" applyFont="1" applyFill="1" applyAlignment="1">
      <alignment horizontal="right"/>
    </xf>
    <xf numFmtId="0" fontId="8" fillId="12" borderId="0" xfId="0" applyFont="1" applyFill="1"/>
    <xf numFmtId="0" fontId="3" fillId="4" borderId="6" xfId="0" applyFont="1" applyFill="1" applyBorder="1" applyAlignment="1">
      <alignment horizontal="left" indent="1"/>
    </xf>
    <xf numFmtId="175" fontId="5" fillId="19" borderId="6" xfId="0" applyNumberFormat="1" applyFont="1" applyFill="1" applyBorder="1" applyAlignment="1">
      <alignment horizontal="right" vertical="center"/>
    </xf>
    <xf numFmtId="170" fontId="5" fillId="19" borderId="6" xfId="0" applyNumberFormat="1" applyFont="1" applyFill="1" applyBorder="1" applyAlignment="1">
      <alignment horizontal="right" vertical="center"/>
    </xf>
    <xf numFmtId="169" fontId="10" fillId="19" borderId="6" xfId="0" applyNumberFormat="1" applyFont="1" applyFill="1" applyBorder="1" applyAlignment="1">
      <alignment horizontal="right" vertical="center"/>
    </xf>
    <xf numFmtId="170" fontId="5" fillId="0" borderId="6" xfId="0" applyNumberFormat="1" applyFont="1" applyBorder="1"/>
    <xf numFmtId="165" fontId="12" fillId="0" borderId="6" xfId="0" applyNumberFormat="1" applyFont="1" applyBorder="1"/>
    <xf numFmtId="165" fontId="3" fillId="0" borderId="6" xfId="0" applyNumberFormat="1" applyFont="1" applyBorder="1" applyAlignment="1">
      <alignment horizontal="right"/>
    </xf>
    <xf numFmtId="10" fontId="3" fillId="0" borderId="6" xfId="0" applyNumberFormat="1" applyFont="1" applyBorder="1"/>
    <xf numFmtId="0" fontId="21" fillId="11" borderId="6" xfId="0" applyFont="1" applyFill="1" applyBorder="1" applyAlignment="1">
      <alignment horizontal="left" indent="2"/>
    </xf>
    <xf numFmtId="165" fontId="9" fillId="0" borderId="6" xfId="0" applyNumberFormat="1" applyFont="1" applyBorder="1"/>
    <xf numFmtId="0" fontId="3" fillId="0" borderId="6" xfId="0" applyFont="1" applyBorder="1" applyAlignment="1">
      <alignment horizontal="left" indent="2"/>
    </xf>
    <xf numFmtId="0" fontId="3" fillId="0" borderId="6" xfId="0" applyFont="1" applyBorder="1"/>
    <xf numFmtId="2" fontId="3" fillId="0" borderId="6" xfId="0" applyNumberFormat="1" applyFont="1" applyBorder="1"/>
    <xf numFmtId="7" fontId="10" fillId="15" borderId="6" xfId="0" applyNumberFormat="1" applyFont="1" applyFill="1" applyBorder="1" applyAlignment="1">
      <alignment vertical="center"/>
    </xf>
    <xf numFmtId="7" fontId="10" fillId="15" borderId="6" xfId="0" applyNumberFormat="1" applyFont="1" applyFill="1" applyBorder="1" applyAlignment="1">
      <alignment horizontal="right" vertical="center"/>
    </xf>
    <xf numFmtId="7" fontId="25" fillId="0" borderId="6" xfId="0" applyNumberFormat="1" applyFont="1" applyBorder="1"/>
    <xf numFmtId="0" fontId="5" fillId="0" borderId="6" xfId="0" applyFont="1" applyBorder="1" applyAlignment="1">
      <alignment horizontal="left" indent="1"/>
    </xf>
    <xf numFmtId="169" fontId="5" fillId="0" borderId="6" xfId="0" applyNumberFormat="1" applyFont="1" applyBorder="1" applyAlignment="1">
      <alignment horizontal="left" indent="1"/>
    </xf>
    <xf numFmtId="10" fontId="5" fillId="0" borderId="6" xfId="0" applyNumberFormat="1" applyFont="1" applyBorder="1" applyAlignment="1">
      <alignment horizontal="left" indent="1"/>
    </xf>
    <xf numFmtId="0" fontId="1" fillId="2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49" fontId="5" fillId="0" borderId="6" xfId="0" applyNumberFormat="1" applyFont="1" applyBorder="1" applyAlignment="1">
      <alignment horizontal="left" indent="1"/>
    </xf>
    <xf numFmtId="0" fontId="5" fillId="5" borderId="6" xfId="0" applyFont="1" applyFill="1" applyBorder="1" applyAlignment="1">
      <alignment horizontal="left" indent="1"/>
    </xf>
    <xf numFmtId="0" fontId="4" fillId="3" borderId="6" xfId="0" applyFont="1" applyFill="1" applyBorder="1" applyAlignment="1">
      <alignment horizontal="center"/>
    </xf>
    <xf numFmtId="0" fontId="18" fillId="8" borderId="0" xfId="0" applyFont="1" applyFill="1" applyAlignment="1">
      <alignment horizontal="center" vertical="center"/>
    </xf>
    <xf numFmtId="0" fontId="7" fillId="3" borderId="6" xfId="0" applyFont="1" applyFill="1" applyBorder="1" applyAlignment="1">
      <alignment horizontal="left" vertical="center" indent="1"/>
    </xf>
    <xf numFmtId="0" fontId="13" fillId="3" borderId="6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3" borderId="6" xfId="0" applyFont="1" applyFill="1" applyBorder="1" applyAlignment="1">
      <alignment horizontal="left" vertical="center"/>
    </xf>
    <xf numFmtId="0" fontId="15" fillId="0" borderId="3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20" fillId="9" borderId="6" xfId="0" applyFont="1" applyFill="1" applyBorder="1" applyAlignment="1">
      <alignment horizontal="center" vertical="center"/>
    </xf>
    <xf numFmtId="0" fontId="24" fillId="9" borderId="6" xfId="0" applyFont="1" applyFill="1" applyBorder="1" applyAlignment="1">
      <alignment horizontal="left" vertical="center"/>
    </xf>
    <xf numFmtId="0" fontId="17" fillId="18" borderId="6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indent="1"/>
    </xf>
    <xf numFmtId="0" fontId="18" fillId="8" borderId="6" xfId="0" applyFont="1" applyFill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24" fillId="9" borderId="3" xfId="0" applyFont="1" applyFill="1" applyBorder="1" applyAlignment="1">
      <alignment horizontal="left" vertical="center"/>
    </xf>
    <xf numFmtId="0" fontId="24" fillId="9" borderId="0" xfId="0" applyFont="1" applyFill="1" applyAlignment="1">
      <alignment horizontal="left" vertical="center"/>
    </xf>
    <xf numFmtId="0" fontId="24" fillId="9" borderId="5" xfId="0" applyFont="1" applyFill="1" applyBorder="1" applyAlignment="1">
      <alignment horizontal="left" vertical="center"/>
    </xf>
    <xf numFmtId="0" fontId="24" fillId="9" borderId="2" xfId="0" applyFont="1" applyFill="1" applyBorder="1" applyAlignment="1">
      <alignment horizontal="left" vertical="center"/>
    </xf>
    <xf numFmtId="0" fontId="24" fillId="9" borderId="7" xfId="0" applyFont="1" applyFill="1" applyBorder="1" applyAlignment="1">
      <alignment horizontal="left" vertical="center"/>
    </xf>
    <xf numFmtId="0" fontId="24" fillId="9" borderId="1" xfId="0" applyFont="1" applyFill="1" applyBorder="1" applyAlignment="1">
      <alignment horizontal="left" vertical="center"/>
    </xf>
    <xf numFmtId="0" fontId="24" fillId="9" borderId="4" xfId="0" applyFont="1" applyFill="1" applyBorder="1" applyAlignment="1">
      <alignment horizontal="left" vertical="center"/>
    </xf>
    <xf numFmtId="0" fontId="24" fillId="9" borderId="7" xfId="0" applyFont="1" applyFill="1" applyBorder="1" applyAlignment="1">
      <alignment horizontal="left" vertical="center" indent="1"/>
    </xf>
    <xf numFmtId="0" fontId="24" fillId="9" borderId="1" xfId="0" applyFont="1" applyFill="1" applyBorder="1" applyAlignment="1">
      <alignment horizontal="left" vertical="center" indent="1"/>
    </xf>
    <xf numFmtId="0" fontId="24" fillId="9" borderId="4" xfId="0" applyFont="1" applyFill="1" applyBorder="1" applyAlignment="1">
      <alignment horizontal="left" vertical="center" indent="1"/>
    </xf>
    <xf numFmtId="0" fontId="24" fillId="9" borderId="6" xfId="0" applyFont="1" applyFill="1" applyBorder="1" applyAlignment="1">
      <alignment horizontal="left" vertical="center" indent="1"/>
    </xf>
    <xf numFmtId="0" fontId="29" fillId="20" borderId="9" xfId="0" applyFont="1" applyFill="1" applyBorder="1" applyAlignment="1">
      <alignment horizontal="center" vertical="center"/>
    </xf>
    <xf numFmtId="0" fontId="28" fillId="20" borderId="15" xfId="0" applyFont="1" applyFill="1" applyBorder="1" applyAlignment="1">
      <alignment horizontal="left" vertical="center"/>
    </xf>
    <xf numFmtId="0" fontId="29" fillId="20" borderId="11" xfId="0" applyFont="1" applyFill="1" applyBorder="1" applyAlignment="1">
      <alignment horizontal="center" vertical="center"/>
    </xf>
    <xf numFmtId="0" fontId="21" fillId="21" borderId="10" xfId="0" applyFont="1" applyFill="1" applyBorder="1"/>
    <xf numFmtId="176" fontId="30" fillId="0" borderId="12" xfId="0" applyNumberFormat="1" applyFont="1" applyBorder="1" applyAlignment="1">
      <alignment horizontal="center" vertical="center"/>
    </xf>
    <xf numFmtId="176" fontId="30" fillId="22" borderId="12" xfId="0" applyNumberFormat="1" applyFont="1" applyFill="1" applyBorder="1" applyAlignment="1">
      <alignment horizontal="center" vertical="center"/>
    </xf>
    <xf numFmtId="0" fontId="31" fillId="0" borderId="0" xfId="0" applyFont="1"/>
    <xf numFmtId="0" fontId="21" fillId="21" borderId="13" xfId="0" applyFont="1" applyFill="1" applyBorder="1"/>
    <xf numFmtId="177" fontId="30" fillId="0" borderId="14" xfId="0" applyNumberFormat="1" applyFont="1" applyBorder="1" applyAlignment="1">
      <alignment horizontal="center" vertical="center"/>
    </xf>
    <xf numFmtId="177" fontId="32" fillId="22" borderId="14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wrapText="1"/>
    </xf>
    <xf numFmtId="0" fontId="23" fillId="0" borderId="10" xfId="0" applyFont="1" applyBorder="1"/>
    <xf numFmtId="0" fontId="33" fillId="0" borderId="10" xfId="0" applyFont="1" applyBorder="1" applyAlignment="1">
      <alignment horizontal="center"/>
    </xf>
    <xf numFmtId="0" fontId="34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95959"/>
      <color rgb="FF0000FF"/>
      <color rgb="FF153967"/>
      <color rgb="FF2F5496"/>
      <color rgb="FFFFFF9E"/>
      <color rgb="FFF2F2F2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2FB24-D163-2742-BF78-7C571FDC2F29}">
  <dimension ref="B2:E18"/>
  <sheetViews>
    <sheetView showGridLines="0" zoomScale="116" zoomScaleNormal="70" workbookViewId="0">
      <selection activeCell="C9" sqref="C9:D9"/>
    </sheetView>
  </sheetViews>
  <sheetFormatPr baseColWidth="10" defaultRowHeight="16" x14ac:dyDescent="0.2"/>
  <cols>
    <col min="2" max="2" width="35" customWidth="1"/>
    <col min="3" max="4" width="25" customWidth="1"/>
  </cols>
  <sheetData>
    <row r="2" spans="2:5" ht="39" customHeight="1" x14ac:dyDescent="0.2">
      <c r="B2" s="156" t="s">
        <v>0</v>
      </c>
      <c r="C2" s="156"/>
      <c r="D2" s="156"/>
    </row>
    <row r="3" spans="2:5" ht="24" customHeight="1" x14ac:dyDescent="0.2">
      <c r="B3" s="157" t="s">
        <v>1</v>
      </c>
      <c r="C3" s="157"/>
      <c r="D3" s="157"/>
    </row>
    <row r="4" spans="2:5" x14ac:dyDescent="0.2">
      <c r="C4" s="1"/>
    </row>
    <row r="5" spans="2:5" x14ac:dyDescent="0.2">
      <c r="B5" s="137" t="s">
        <v>2</v>
      </c>
      <c r="C5" s="153" t="s">
        <v>15</v>
      </c>
      <c r="D5" s="153"/>
      <c r="E5" s="2"/>
    </row>
    <row r="6" spans="2:5" x14ac:dyDescent="0.2">
      <c r="B6" s="137" t="s">
        <v>3</v>
      </c>
      <c r="C6" s="158" t="s">
        <v>191</v>
      </c>
      <c r="D6" s="158"/>
      <c r="E6" s="2"/>
    </row>
    <row r="7" spans="2:5" x14ac:dyDescent="0.2">
      <c r="B7" s="137" t="s">
        <v>4</v>
      </c>
      <c r="C7" s="153" t="s">
        <v>131</v>
      </c>
      <c r="D7" s="153"/>
      <c r="E7" s="2"/>
    </row>
    <row r="8" spans="2:5" x14ac:dyDescent="0.2">
      <c r="B8" s="137" t="s">
        <v>5</v>
      </c>
      <c r="C8" s="153" t="s">
        <v>16</v>
      </c>
      <c r="D8" s="153"/>
      <c r="E8" s="2"/>
    </row>
    <row r="9" spans="2:5" x14ac:dyDescent="0.2">
      <c r="B9" s="137" t="s">
        <v>6</v>
      </c>
      <c r="C9" s="154">
        <f>'6. Valuation Summary'!D9</f>
        <v>173.6625597717952</v>
      </c>
      <c r="D9" s="154"/>
      <c r="E9" s="2"/>
    </row>
    <row r="10" spans="2:5" x14ac:dyDescent="0.2">
      <c r="B10" s="137" t="s">
        <v>7</v>
      </c>
      <c r="C10" s="155">
        <f>'6. Valuation Summary'!B11</f>
        <v>9.2217357055315752E-2</v>
      </c>
      <c r="D10" s="153"/>
      <c r="E10" s="2"/>
    </row>
    <row r="12" spans="2:5" x14ac:dyDescent="0.2">
      <c r="B12" s="160" t="s">
        <v>8</v>
      </c>
      <c r="C12" s="160"/>
      <c r="D12" s="160"/>
    </row>
    <row r="13" spans="2:5" x14ac:dyDescent="0.2">
      <c r="B13" s="153" t="s">
        <v>9</v>
      </c>
      <c r="C13" s="153"/>
      <c r="D13" s="153"/>
    </row>
    <row r="14" spans="2:5" x14ac:dyDescent="0.2">
      <c r="B14" s="159" t="s">
        <v>10</v>
      </c>
      <c r="C14" s="159"/>
      <c r="D14" s="159"/>
    </row>
    <row r="15" spans="2:5" x14ac:dyDescent="0.2">
      <c r="B15" s="153" t="s">
        <v>11</v>
      </c>
      <c r="C15" s="153"/>
      <c r="D15" s="153"/>
    </row>
    <row r="16" spans="2:5" x14ac:dyDescent="0.2">
      <c r="B16" s="159" t="s">
        <v>12</v>
      </c>
      <c r="C16" s="159"/>
      <c r="D16" s="159"/>
    </row>
    <row r="17" spans="2:4" x14ac:dyDescent="0.2">
      <c r="B17" s="153" t="s">
        <v>14</v>
      </c>
      <c r="C17" s="153"/>
      <c r="D17" s="153"/>
    </row>
    <row r="18" spans="2:4" x14ac:dyDescent="0.2">
      <c r="B18" s="159" t="s">
        <v>13</v>
      </c>
      <c r="C18" s="159"/>
      <c r="D18" s="159"/>
    </row>
  </sheetData>
  <mergeCells count="15">
    <mergeCell ref="B18:D18"/>
    <mergeCell ref="B12:D12"/>
    <mergeCell ref="B13:D13"/>
    <mergeCell ref="B14:D14"/>
    <mergeCell ref="B15:D15"/>
    <mergeCell ref="B16:D16"/>
    <mergeCell ref="B17:D17"/>
    <mergeCell ref="C8:D8"/>
    <mergeCell ref="C9:D9"/>
    <mergeCell ref="C10:D10"/>
    <mergeCell ref="B2:D2"/>
    <mergeCell ref="B3:D3"/>
    <mergeCell ref="C5:D5"/>
    <mergeCell ref="C6:D6"/>
    <mergeCell ref="C7:D7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A2F22-4820-E547-AF53-3F0A101B418B}">
  <dimension ref="A1:C35"/>
  <sheetViews>
    <sheetView showGridLines="0" workbookViewId="0">
      <selection activeCell="C33" sqref="C33"/>
    </sheetView>
  </sheetViews>
  <sheetFormatPr baseColWidth="10" defaultRowHeight="16" x14ac:dyDescent="0.2"/>
  <cols>
    <col min="1" max="1" width="30" customWidth="1"/>
    <col min="2" max="2" width="18" customWidth="1"/>
    <col min="3" max="3" width="63.5" customWidth="1"/>
    <col min="4" max="4" width="10.83203125" customWidth="1"/>
  </cols>
  <sheetData>
    <row r="1" spans="1:3" ht="36" customHeight="1" x14ac:dyDescent="0.2">
      <c r="A1" s="161" t="s">
        <v>17</v>
      </c>
      <c r="B1" s="161"/>
      <c r="C1" s="161"/>
    </row>
    <row r="2" spans="1:3" ht="18" customHeight="1" x14ac:dyDescent="0.2">
      <c r="A2" s="163" t="s">
        <v>160</v>
      </c>
      <c r="B2" s="163"/>
      <c r="C2" s="163"/>
    </row>
    <row r="3" spans="1:3" x14ac:dyDescent="0.2">
      <c r="A3" s="164"/>
      <c r="B3" s="164"/>
      <c r="C3" s="164"/>
    </row>
    <row r="4" spans="1:3" ht="21" customHeight="1" x14ac:dyDescent="0.2">
      <c r="A4" s="162" t="s">
        <v>138</v>
      </c>
      <c r="B4" s="162"/>
      <c r="C4" s="162"/>
    </row>
    <row r="5" spans="1:3" ht="18" customHeight="1" x14ac:dyDescent="0.2">
      <c r="A5" s="5" t="s">
        <v>62</v>
      </c>
      <c r="B5" s="12">
        <v>1.9</v>
      </c>
      <c r="C5" s="42" t="s">
        <v>45</v>
      </c>
    </row>
    <row r="6" spans="1:3" ht="18" customHeight="1" x14ac:dyDescent="0.2">
      <c r="A6" s="3" t="s">
        <v>18</v>
      </c>
      <c r="B6" s="7">
        <v>0.28000000000000003</v>
      </c>
      <c r="C6" s="4"/>
    </row>
    <row r="7" spans="1:3" ht="18" customHeight="1" x14ac:dyDescent="0.2">
      <c r="A7" s="3" t="s">
        <v>19</v>
      </c>
      <c r="B7" s="7">
        <v>0.25</v>
      </c>
      <c r="C7" s="4"/>
    </row>
    <row r="8" spans="1:3" ht="18" customHeight="1" x14ac:dyDescent="0.2">
      <c r="A8" s="3" t="s">
        <v>20</v>
      </c>
      <c r="B8" s="7">
        <v>0.2</v>
      </c>
      <c r="C8" s="4"/>
    </row>
    <row r="9" spans="1:3" ht="18" customHeight="1" x14ac:dyDescent="0.2">
      <c r="A9" s="3" t="s">
        <v>103</v>
      </c>
      <c r="B9" s="7">
        <v>0.18</v>
      </c>
      <c r="C9" s="4"/>
    </row>
    <row r="10" spans="1:3" x14ac:dyDescent="0.2">
      <c r="A10" s="3" t="s">
        <v>133</v>
      </c>
      <c r="B10" s="7">
        <v>0.16</v>
      </c>
      <c r="C10" s="4"/>
    </row>
    <row r="11" spans="1:3" ht="21" customHeight="1" x14ac:dyDescent="0.2">
      <c r="A11" s="67" t="s">
        <v>134</v>
      </c>
      <c r="B11" s="7">
        <v>0.14000000000000001</v>
      </c>
      <c r="C11" s="4"/>
    </row>
    <row r="12" spans="1:3" ht="18" customHeight="1" x14ac:dyDescent="0.2">
      <c r="A12" s="67" t="s">
        <v>135</v>
      </c>
      <c r="B12" s="7">
        <v>0.12</v>
      </c>
      <c r="C12" s="4"/>
    </row>
    <row r="13" spans="1:3" ht="18" customHeight="1" x14ac:dyDescent="0.2">
      <c r="A13" s="3" t="s">
        <v>136</v>
      </c>
      <c r="B13" s="7">
        <v>0.1</v>
      </c>
      <c r="C13" s="4"/>
    </row>
    <row r="14" spans="1:3" ht="18" customHeight="1" x14ac:dyDescent="0.2">
      <c r="A14" s="67" t="s">
        <v>137</v>
      </c>
      <c r="B14" s="7">
        <v>0.08</v>
      </c>
      <c r="C14" s="4"/>
    </row>
    <row r="15" spans="1:3" ht="18" customHeight="1" x14ac:dyDescent="0.2">
      <c r="A15" s="5" t="s">
        <v>21</v>
      </c>
      <c r="B15" s="8">
        <v>4.0000000000000001E-3</v>
      </c>
      <c r="C15" s="42" t="s">
        <v>44</v>
      </c>
    </row>
    <row r="16" spans="1:3" ht="18" customHeight="1" x14ac:dyDescent="0.2">
      <c r="A16" s="5" t="s">
        <v>42</v>
      </c>
      <c r="B16" s="68">
        <v>0.6</v>
      </c>
      <c r="C16" s="68"/>
    </row>
    <row r="17" spans="1:3" x14ac:dyDescent="0.2">
      <c r="A17" s="5" t="s">
        <v>139</v>
      </c>
      <c r="B17" s="68">
        <v>0.3</v>
      </c>
      <c r="C17" s="68"/>
    </row>
    <row r="18" spans="1:3" x14ac:dyDescent="0.2">
      <c r="A18" s="5" t="s">
        <v>140</v>
      </c>
      <c r="B18" s="68">
        <v>0.32</v>
      </c>
      <c r="C18" s="68"/>
    </row>
    <row r="19" spans="1:3" x14ac:dyDescent="0.2">
      <c r="A19" s="5" t="s">
        <v>141</v>
      </c>
      <c r="B19" s="68">
        <v>0.35</v>
      </c>
      <c r="C19" s="68"/>
    </row>
    <row r="20" spans="1:3" x14ac:dyDescent="0.2">
      <c r="A20" s="5" t="s">
        <v>23</v>
      </c>
      <c r="B20" s="68">
        <v>0.21</v>
      </c>
      <c r="C20" s="44" t="s">
        <v>31</v>
      </c>
    </row>
    <row r="21" spans="1:3" x14ac:dyDescent="0.2">
      <c r="A21" s="70" t="s">
        <v>24</v>
      </c>
      <c r="B21" s="71">
        <v>2.5000000000000001E-2</v>
      </c>
      <c r="C21" s="25"/>
    </row>
    <row r="22" spans="1:3" x14ac:dyDescent="0.2">
      <c r="A22" s="5" t="s">
        <v>25</v>
      </c>
      <c r="B22" s="43">
        <v>0.02</v>
      </c>
      <c r="C22" s="69"/>
    </row>
    <row r="23" spans="1:3" x14ac:dyDescent="0.2">
      <c r="A23" s="70" t="s">
        <v>26</v>
      </c>
      <c r="B23" s="71">
        <v>0.01</v>
      </c>
      <c r="C23" s="45"/>
    </row>
    <row r="24" spans="1:3" x14ac:dyDescent="0.2">
      <c r="A24" s="66"/>
      <c r="B24" s="133"/>
      <c r="C24" s="134"/>
    </row>
    <row r="25" spans="1:3" x14ac:dyDescent="0.2">
      <c r="A25" s="124"/>
      <c r="B25" s="135"/>
      <c r="C25" s="136"/>
    </row>
    <row r="26" spans="1:3" x14ac:dyDescent="0.2">
      <c r="A26" s="165" t="s">
        <v>142</v>
      </c>
      <c r="B26" s="165"/>
      <c r="C26" s="165"/>
    </row>
    <row r="27" spans="1:3" x14ac:dyDescent="0.2">
      <c r="A27" s="70" t="s">
        <v>143</v>
      </c>
      <c r="B27" s="74">
        <v>4.4400000000000002E-2</v>
      </c>
      <c r="C27" s="78" t="s">
        <v>146</v>
      </c>
    </row>
    <row r="28" spans="1:3" x14ac:dyDescent="0.2">
      <c r="A28" s="70" t="s">
        <v>144</v>
      </c>
      <c r="B28" s="76">
        <v>1.3</v>
      </c>
      <c r="C28" s="77" t="s">
        <v>147</v>
      </c>
    </row>
    <row r="29" spans="1:3" x14ac:dyDescent="0.2">
      <c r="A29" s="72" t="s">
        <v>145</v>
      </c>
      <c r="B29" s="73">
        <v>5.5500000000000001E-2</v>
      </c>
      <c r="C29" s="78" t="s">
        <v>148</v>
      </c>
    </row>
    <row r="30" spans="1:3" x14ac:dyDescent="0.2">
      <c r="A30" s="70" t="s">
        <v>27</v>
      </c>
      <c r="B30" s="79">
        <f>4.44% +1.3*5.55%</f>
        <v>0.11655000000000001</v>
      </c>
      <c r="C30" s="77" t="s">
        <v>32</v>
      </c>
    </row>
    <row r="31" spans="1:3" x14ac:dyDescent="0.2">
      <c r="A31" s="70" t="s">
        <v>28</v>
      </c>
      <c r="B31" s="80">
        <v>0.03</v>
      </c>
      <c r="C31" s="45" t="s">
        <v>33</v>
      </c>
    </row>
    <row r="32" spans="1:3" x14ac:dyDescent="0.2">
      <c r="A32" s="70" t="s">
        <v>30</v>
      </c>
      <c r="B32" s="81">
        <v>18</v>
      </c>
      <c r="C32" s="77" t="s">
        <v>132</v>
      </c>
    </row>
    <row r="33" spans="1:3" x14ac:dyDescent="0.2">
      <c r="A33" s="70" t="s">
        <v>186</v>
      </c>
      <c r="B33" s="126">
        <v>12</v>
      </c>
      <c r="C33" s="78" t="s">
        <v>182</v>
      </c>
    </row>
    <row r="34" spans="1:3" x14ac:dyDescent="0.2">
      <c r="A34" s="125" t="s">
        <v>193</v>
      </c>
      <c r="B34" s="47">
        <v>2.2999999999999998</v>
      </c>
      <c r="C34" s="44" t="s">
        <v>210</v>
      </c>
    </row>
    <row r="35" spans="1:3" x14ac:dyDescent="0.2">
      <c r="A35" s="132"/>
      <c r="B35" s="132"/>
      <c r="C35" s="132"/>
    </row>
  </sheetData>
  <mergeCells count="5">
    <mergeCell ref="A1:C1"/>
    <mergeCell ref="A4:C4"/>
    <mergeCell ref="A2:C2"/>
    <mergeCell ref="A3:C3"/>
    <mergeCell ref="A26:C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D8B5F-9CD8-D244-9114-C80B87407365}">
  <dimension ref="A1:K12"/>
  <sheetViews>
    <sheetView showGridLines="0" zoomScaleNormal="100" workbookViewId="0">
      <selection activeCell="D9" sqref="D9"/>
    </sheetView>
  </sheetViews>
  <sheetFormatPr baseColWidth="10" defaultRowHeight="16" x14ac:dyDescent="0.2"/>
  <cols>
    <col min="1" max="1" width="28" style="6" customWidth="1"/>
    <col min="2" max="9" width="16" style="6" customWidth="1"/>
    <col min="10" max="10" width="16.1640625" style="6" customWidth="1"/>
    <col min="11" max="11" width="16" style="6" customWidth="1"/>
    <col min="12" max="16384" width="10.83203125" style="6"/>
  </cols>
  <sheetData>
    <row r="1" spans="1:11" ht="35" customHeight="1" x14ac:dyDescent="0.2">
      <c r="A1" s="168" t="s">
        <v>34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1" x14ac:dyDescent="0.2">
      <c r="A2" s="169" t="s">
        <v>47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1" x14ac:dyDescent="0.2">
      <c r="A3" s="166"/>
      <c r="B3" s="167"/>
      <c r="C3" s="167"/>
      <c r="D3" s="167"/>
      <c r="E3" s="167"/>
    </row>
    <row r="4" spans="1:11" x14ac:dyDescent="0.2">
      <c r="A4" s="9" t="s">
        <v>43</v>
      </c>
      <c r="B4" s="9" t="s">
        <v>61</v>
      </c>
      <c r="C4" s="9" t="s">
        <v>35</v>
      </c>
      <c r="D4" s="9" t="s">
        <v>36</v>
      </c>
      <c r="E4" s="9" t="s">
        <v>37</v>
      </c>
      <c r="F4" s="9" t="s">
        <v>104</v>
      </c>
      <c r="G4" s="9" t="s">
        <v>149</v>
      </c>
      <c r="H4" s="9" t="s">
        <v>150</v>
      </c>
      <c r="I4" s="9" t="s">
        <v>151</v>
      </c>
      <c r="J4" s="9" t="s">
        <v>152</v>
      </c>
      <c r="K4" s="9" t="s">
        <v>153</v>
      </c>
    </row>
    <row r="5" spans="1:11" x14ac:dyDescent="0.2">
      <c r="A5" s="16" t="s">
        <v>38</v>
      </c>
      <c r="B5" s="17">
        <f>'1. Assumptions'!B5</f>
        <v>1.9</v>
      </c>
      <c r="C5" s="17">
        <f>B5*(1+'1. Assumptions'!B6)</f>
        <v>2.4319999999999999</v>
      </c>
      <c r="D5" s="17">
        <f>C5*(1+'1. Assumptions'!B7)</f>
        <v>3.04</v>
      </c>
      <c r="E5" s="17">
        <f>D5*(1+'1. Assumptions'!B8)</f>
        <v>3.6479999999999997</v>
      </c>
      <c r="F5" s="17">
        <f>E5*(1+'1. Assumptions'!B9)</f>
        <v>4.3046399999999991</v>
      </c>
      <c r="G5" s="17">
        <f>F5*(1+'1. Assumptions'!B10)</f>
        <v>4.9933823999999989</v>
      </c>
      <c r="H5" s="17">
        <f>G5*(1+'1. Assumptions'!B11)</f>
        <v>5.6924559359999991</v>
      </c>
      <c r="I5" s="17">
        <f>H5*(1+'1. Assumptions'!B12)</f>
        <v>6.37555064832</v>
      </c>
      <c r="J5" s="17">
        <f>I5*(1+'1. Assumptions'!B13)</f>
        <v>7.0131057131520009</v>
      </c>
      <c r="K5" s="17">
        <f>J5*(1+'1. Assumptions'!B14)</f>
        <v>7.5741541702041619</v>
      </c>
    </row>
    <row r="6" spans="1:11" x14ac:dyDescent="0.2">
      <c r="A6" s="10" t="s">
        <v>39</v>
      </c>
      <c r="B6" s="15" t="s">
        <v>46</v>
      </c>
      <c r="C6" s="13">
        <f>'1. Assumptions'!B6</f>
        <v>0.28000000000000003</v>
      </c>
      <c r="D6" s="13">
        <f>'1. Assumptions'!B7</f>
        <v>0.25</v>
      </c>
      <c r="E6" s="13">
        <f>'1. Assumptions'!B8</f>
        <v>0.2</v>
      </c>
      <c r="F6" s="13">
        <f>'1. Assumptions'!B9</f>
        <v>0.18</v>
      </c>
      <c r="G6" s="83">
        <f>'1. Assumptions'!B10</f>
        <v>0.16</v>
      </c>
      <c r="H6" s="83">
        <f>'1. Assumptions'!B11</f>
        <v>0.14000000000000001</v>
      </c>
      <c r="I6" s="83">
        <f>'1. Assumptions'!B12</f>
        <v>0.12</v>
      </c>
      <c r="J6" s="83">
        <f>'1. Assumptions'!B13</f>
        <v>0.1</v>
      </c>
      <c r="K6" s="83">
        <f>'1. Assumptions'!B14</f>
        <v>0.08</v>
      </c>
    </row>
    <row r="7" spans="1:11" x14ac:dyDescent="0.2">
      <c r="A7" s="10" t="s">
        <v>40</v>
      </c>
      <c r="B7" s="14">
        <f>'2. TPV + Revenue'!B5*1000</f>
        <v>1900</v>
      </c>
      <c r="C7" s="14">
        <f>'2. TPV + Revenue'!C5*1000</f>
        <v>2432</v>
      </c>
      <c r="D7" s="14">
        <f>'2. TPV + Revenue'!D5*1000</f>
        <v>3040</v>
      </c>
      <c r="E7" s="14">
        <f>'2. TPV + Revenue'!E5*1000</f>
        <v>3647.9999999999995</v>
      </c>
      <c r="F7" s="14">
        <f>'2. TPV + Revenue'!F5*1000</f>
        <v>4304.6399999999994</v>
      </c>
      <c r="G7" s="14">
        <f>'2. TPV + Revenue'!G5*1000</f>
        <v>4993.3823999999986</v>
      </c>
      <c r="H7" s="14">
        <f>'2. TPV + Revenue'!H5*1000</f>
        <v>5692.4559359999994</v>
      </c>
      <c r="I7" s="14">
        <f>'2. TPV + Revenue'!I5*1000</f>
        <v>6375.5506483199997</v>
      </c>
      <c r="J7" s="14">
        <f>'2. TPV + Revenue'!J5*1000</f>
        <v>7013.105713152001</v>
      </c>
      <c r="K7" s="14">
        <f>'2. TPV + Revenue'!K5*1000</f>
        <v>7574.1541702041623</v>
      </c>
    </row>
    <row r="8" spans="1:11" x14ac:dyDescent="0.2">
      <c r="A8" s="10" t="s">
        <v>21</v>
      </c>
      <c r="B8" s="11">
        <f>'1. Assumptions'!B15</f>
        <v>4.0000000000000001E-3</v>
      </c>
      <c r="C8" s="11">
        <f>'1. Assumptions'!B15</f>
        <v>4.0000000000000001E-3</v>
      </c>
      <c r="D8" s="11">
        <f>'1. Assumptions'!B15</f>
        <v>4.0000000000000001E-3</v>
      </c>
      <c r="E8" s="11">
        <f>'1. Assumptions'!B15</f>
        <v>4.0000000000000001E-3</v>
      </c>
      <c r="F8" s="11">
        <f>'1. Assumptions'!B15</f>
        <v>4.0000000000000001E-3</v>
      </c>
      <c r="G8" s="28">
        <f>'1. Assumptions'!B15</f>
        <v>4.0000000000000001E-3</v>
      </c>
      <c r="H8" s="28">
        <f>'1. Assumptions'!B15</f>
        <v>4.0000000000000001E-3</v>
      </c>
      <c r="I8" s="28">
        <f>'1. Assumptions'!B15</f>
        <v>4.0000000000000001E-3</v>
      </c>
      <c r="J8" s="28">
        <f>'1. Assumptions'!B15</f>
        <v>4.0000000000000001E-3</v>
      </c>
      <c r="K8" s="28">
        <f>'1. Assumptions'!B15</f>
        <v>4.0000000000000001E-3</v>
      </c>
    </row>
    <row r="9" spans="1:11" x14ac:dyDescent="0.2">
      <c r="A9" s="16" t="s">
        <v>48</v>
      </c>
      <c r="B9" s="18">
        <f>B8*B7</f>
        <v>7.6000000000000005</v>
      </c>
      <c r="C9" s="18">
        <f t="shared" ref="C9:K9" si="0">C8*C7</f>
        <v>9.7279999999999998</v>
      </c>
      <c r="D9" s="18">
        <f t="shared" si="0"/>
        <v>12.16</v>
      </c>
      <c r="E9" s="18">
        <f t="shared" si="0"/>
        <v>14.591999999999999</v>
      </c>
      <c r="F9" s="18">
        <f t="shared" si="0"/>
        <v>17.218559999999997</v>
      </c>
      <c r="G9" s="18">
        <f t="shared" si="0"/>
        <v>19.973529599999996</v>
      </c>
      <c r="H9" s="18">
        <f t="shared" si="0"/>
        <v>22.769823743999996</v>
      </c>
      <c r="I9" s="18">
        <f t="shared" si="0"/>
        <v>25.50220259328</v>
      </c>
      <c r="J9" s="18">
        <f t="shared" si="0"/>
        <v>28.052422852608004</v>
      </c>
      <c r="K9" s="18">
        <f t="shared" si="0"/>
        <v>30.296616680816651</v>
      </c>
    </row>
    <row r="10" spans="1:11" x14ac:dyDescent="0.2">
      <c r="A10" s="16" t="s">
        <v>41</v>
      </c>
      <c r="B10" s="85" t="s">
        <v>46</v>
      </c>
      <c r="C10" s="143">
        <f>C9/B9-1</f>
        <v>0.2799999999999998</v>
      </c>
      <c r="D10" s="143">
        <f t="shared" ref="D10:F10" si="1">D9/C9-1</f>
        <v>0.25</v>
      </c>
      <c r="E10" s="143">
        <f t="shared" si="1"/>
        <v>0.19999999999999996</v>
      </c>
      <c r="F10" s="143">
        <f t="shared" si="1"/>
        <v>0.17999999999999994</v>
      </c>
      <c r="G10" s="143">
        <f t="shared" ref="G10" si="2">G9/F9-1</f>
        <v>0.15999999999999992</v>
      </c>
      <c r="H10" s="143">
        <f t="shared" ref="H10" si="3">H9/G9-1</f>
        <v>0.14000000000000012</v>
      </c>
      <c r="I10" s="143">
        <f t="shared" ref="I10" si="4">I9/H9-1</f>
        <v>0.12000000000000011</v>
      </c>
      <c r="J10" s="143">
        <f t="shared" ref="J10" si="5">J9/I9-1</f>
        <v>0.10000000000000009</v>
      </c>
      <c r="K10" s="143">
        <f t="shared" ref="K10" si="6">K9/J9-1</f>
        <v>8.0000000000000293E-2</v>
      </c>
    </row>
    <row r="11" spans="1:11" x14ac:dyDescent="0.2">
      <c r="A11" s="16" t="s">
        <v>42</v>
      </c>
      <c r="B11" s="143">
        <f>'1. Assumptions'!B16</f>
        <v>0.6</v>
      </c>
      <c r="C11" s="143">
        <f>'1. Assumptions'!B16</f>
        <v>0.6</v>
      </c>
      <c r="D11" s="143">
        <f>'1. Assumptions'!B16</f>
        <v>0.6</v>
      </c>
      <c r="E11" s="143">
        <f>'1. Assumptions'!B16</f>
        <v>0.6</v>
      </c>
      <c r="F11" s="143">
        <f>'1. Assumptions'!B16</f>
        <v>0.6</v>
      </c>
      <c r="G11" s="144">
        <f>'1. Assumptions'!B16</f>
        <v>0.6</v>
      </c>
      <c r="H11" s="144">
        <f>'1. Assumptions'!B16</f>
        <v>0.6</v>
      </c>
      <c r="I11" s="144">
        <f>'1. Assumptions'!B16</f>
        <v>0.6</v>
      </c>
      <c r="J11" s="144">
        <f>'1. Assumptions'!B16</f>
        <v>0.6</v>
      </c>
      <c r="K11" s="144">
        <f>'1. Assumptions'!B16</f>
        <v>0.6</v>
      </c>
    </row>
    <row r="12" spans="1:11" x14ac:dyDescent="0.2">
      <c r="A12" s="16" t="s">
        <v>49</v>
      </c>
      <c r="B12" s="18">
        <f>B9*B11</f>
        <v>4.5600000000000005</v>
      </c>
      <c r="C12" s="18">
        <f t="shared" ref="C12:K12" si="7">C9*C11</f>
        <v>5.8367999999999993</v>
      </c>
      <c r="D12" s="18">
        <f t="shared" si="7"/>
        <v>7.2959999999999994</v>
      </c>
      <c r="E12" s="18">
        <f t="shared" si="7"/>
        <v>8.7551999999999985</v>
      </c>
      <c r="F12" s="18">
        <f t="shared" si="7"/>
        <v>10.331135999999997</v>
      </c>
      <c r="G12" s="18">
        <f t="shared" si="7"/>
        <v>11.984117759999997</v>
      </c>
      <c r="H12" s="18">
        <f t="shared" si="7"/>
        <v>13.661894246399997</v>
      </c>
      <c r="I12" s="18">
        <f t="shared" si="7"/>
        <v>15.301321555967998</v>
      </c>
      <c r="J12" s="18">
        <f t="shared" si="7"/>
        <v>16.831453711564802</v>
      </c>
      <c r="K12" s="18">
        <f t="shared" si="7"/>
        <v>18.177970008489989</v>
      </c>
    </row>
  </sheetData>
  <mergeCells count="3">
    <mergeCell ref="A3:E3"/>
    <mergeCell ref="A1:K1"/>
    <mergeCell ref="A2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F6F78-CEEE-8443-93E1-0602F0ABDC99}">
  <dimension ref="A1:K14"/>
  <sheetViews>
    <sheetView showGridLines="0" workbookViewId="0">
      <selection activeCell="D5" sqref="D5"/>
    </sheetView>
  </sheetViews>
  <sheetFormatPr baseColWidth="10" defaultRowHeight="16" x14ac:dyDescent="0.2"/>
  <cols>
    <col min="1" max="1" width="28" customWidth="1"/>
    <col min="2" max="11" width="16" customWidth="1"/>
  </cols>
  <sheetData>
    <row r="1" spans="1:11" ht="36" customHeight="1" x14ac:dyDescent="0.2">
      <c r="A1" s="170" t="s">
        <v>51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1" ht="18" customHeight="1" x14ac:dyDescent="0.2">
      <c r="A2" s="171" t="s">
        <v>52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</row>
    <row r="3" spans="1:11" ht="15" customHeight="1" x14ac:dyDescent="0.2"/>
    <row r="4" spans="1:11" ht="19" customHeight="1" x14ac:dyDescent="0.2">
      <c r="A4" s="9" t="s">
        <v>43</v>
      </c>
      <c r="B4" s="9" t="s">
        <v>61</v>
      </c>
      <c r="C4" s="9" t="s">
        <v>35</v>
      </c>
      <c r="D4" s="9" t="s">
        <v>36</v>
      </c>
      <c r="E4" s="9" t="s">
        <v>37</v>
      </c>
      <c r="F4" s="9" t="s">
        <v>104</v>
      </c>
      <c r="G4" s="9" t="s">
        <v>149</v>
      </c>
      <c r="H4" s="9" t="s">
        <v>150</v>
      </c>
      <c r="I4" s="9" t="s">
        <v>151</v>
      </c>
      <c r="J4" s="9" t="s">
        <v>152</v>
      </c>
      <c r="K4" s="9" t="s">
        <v>153</v>
      </c>
    </row>
    <row r="5" spans="1:11" x14ac:dyDescent="0.2">
      <c r="A5" s="19" t="s">
        <v>48</v>
      </c>
      <c r="B5" s="24">
        <f>'2. TPV + Revenue'!B9</f>
        <v>7.6000000000000005</v>
      </c>
      <c r="C5" s="24">
        <f>'2. TPV + Revenue'!C9</f>
        <v>9.7279999999999998</v>
      </c>
      <c r="D5" s="24">
        <f>'2. TPV + Revenue'!D9</f>
        <v>12.16</v>
      </c>
      <c r="E5" s="24">
        <f>'2. TPV + Revenue'!E9</f>
        <v>14.591999999999999</v>
      </c>
      <c r="F5" s="24">
        <f>'2. TPV + Revenue'!F9</f>
        <v>17.218559999999997</v>
      </c>
      <c r="G5" s="82">
        <f>'2. TPV + Revenue'!G9</f>
        <v>19.973529599999996</v>
      </c>
      <c r="H5" s="82">
        <f>'2. TPV + Revenue'!H9</f>
        <v>22.769823743999996</v>
      </c>
      <c r="I5" s="82">
        <f>'2. TPV + Revenue'!I9</f>
        <v>25.50220259328</v>
      </c>
      <c r="J5" s="82">
        <f>'2. TPV + Revenue'!J9</f>
        <v>28.052422852608004</v>
      </c>
      <c r="K5" s="82">
        <f>'2. TPV + Revenue'!K9</f>
        <v>30.296616680816651</v>
      </c>
    </row>
    <row r="6" spans="1:11" x14ac:dyDescent="0.2">
      <c r="A6" s="19" t="s">
        <v>53</v>
      </c>
      <c r="B6" s="24">
        <f>B7*B5</f>
        <v>2.2800000000000002</v>
      </c>
      <c r="C6" s="24">
        <f t="shared" ref="C6:E6" si="0">C7*C5</f>
        <v>2.9183999999999997</v>
      </c>
      <c r="D6" s="24">
        <f t="shared" si="0"/>
        <v>3.6479999999999997</v>
      </c>
      <c r="E6" s="24">
        <f t="shared" si="0"/>
        <v>4.6694399999999998</v>
      </c>
      <c r="F6" s="46">
        <f>F7*F5</f>
        <v>5.5099391999999989</v>
      </c>
      <c r="G6" s="46">
        <f t="shared" ref="G6:K6" si="1">G7*G5</f>
        <v>6.3915294719999984</v>
      </c>
      <c r="H6" s="46">
        <f t="shared" si="1"/>
        <v>7.9694383103999984</v>
      </c>
      <c r="I6" s="46">
        <f t="shared" si="1"/>
        <v>8.9257709076479994</v>
      </c>
      <c r="J6" s="46">
        <f t="shared" si="1"/>
        <v>9.8183479984128006</v>
      </c>
      <c r="K6" s="46">
        <f t="shared" si="1"/>
        <v>10.603815838285827</v>
      </c>
    </row>
    <row r="7" spans="1:11" x14ac:dyDescent="0.2">
      <c r="A7" s="145" t="s">
        <v>50</v>
      </c>
      <c r="B7" s="146">
        <f>'1. Assumptions'!B17</f>
        <v>0.3</v>
      </c>
      <c r="C7" s="146">
        <f>'1. Assumptions'!B17</f>
        <v>0.3</v>
      </c>
      <c r="D7" s="146">
        <f>'1. Assumptions'!B17</f>
        <v>0.3</v>
      </c>
      <c r="E7" s="146">
        <f>'1. Assumptions'!B18</f>
        <v>0.32</v>
      </c>
      <c r="F7" s="146">
        <f>'1. Assumptions'!B18</f>
        <v>0.32</v>
      </c>
      <c r="G7" s="144">
        <f>'1. Assumptions'!B18</f>
        <v>0.32</v>
      </c>
      <c r="H7" s="144">
        <f>'1. Assumptions'!B19</f>
        <v>0.35</v>
      </c>
      <c r="I7" s="144">
        <f>'1. Assumptions'!B19</f>
        <v>0.35</v>
      </c>
      <c r="J7" s="144">
        <f>'1. Assumptions'!B19</f>
        <v>0.35</v>
      </c>
      <c r="K7" s="144">
        <f>'1. Assumptions'!B19</f>
        <v>0.35</v>
      </c>
    </row>
    <row r="8" spans="1:11" x14ac:dyDescent="0.2">
      <c r="A8" s="23" t="s">
        <v>55</v>
      </c>
      <c r="B8" s="20">
        <f>B5*'1. Assumptions'!B22</f>
        <v>0.15200000000000002</v>
      </c>
      <c r="C8" s="20">
        <f>C5*'1. Assumptions'!B22</f>
        <v>0.19456000000000001</v>
      </c>
      <c r="D8" s="20">
        <f>D5*'1. Assumptions'!B22</f>
        <v>0.2432</v>
      </c>
      <c r="E8" s="20">
        <f>E5*'1. Assumptions'!B22</f>
        <v>0.29183999999999999</v>
      </c>
      <c r="F8" s="20">
        <f>F5*'1. Assumptions'!B22</f>
        <v>0.34437119999999993</v>
      </c>
      <c r="G8" s="20">
        <f>G5*'1. Assumptions'!B22</f>
        <v>0.3994705919999999</v>
      </c>
      <c r="H8" s="20">
        <f>H5*'1. Assumptions'!B22</f>
        <v>0.45539647487999996</v>
      </c>
      <c r="I8" s="38">
        <f>I5*'1. Assumptions'!B22</f>
        <v>0.51004405186559998</v>
      </c>
      <c r="J8" s="38">
        <f>J5*'1. Assumptions'!B22</f>
        <v>0.56104845705216011</v>
      </c>
      <c r="K8" s="38">
        <f>K5*'1. Assumptions'!B22</f>
        <v>0.60593233361633303</v>
      </c>
    </row>
    <row r="9" spans="1:11" x14ac:dyDescent="0.2">
      <c r="A9" s="145" t="s">
        <v>54</v>
      </c>
      <c r="B9" s="24">
        <f>B6-B8</f>
        <v>2.1280000000000001</v>
      </c>
      <c r="C9" s="24">
        <f t="shared" ref="C9:K9" si="2">C6-C8</f>
        <v>2.7238399999999996</v>
      </c>
      <c r="D9" s="24">
        <f t="shared" si="2"/>
        <v>3.4047999999999998</v>
      </c>
      <c r="E9" s="24">
        <f t="shared" si="2"/>
        <v>4.3776000000000002</v>
      </c>
      <c r="F9" s="24">
        <f t="shared" si="2"/>
        <v>5.1655679999999986</v>
      </c>
      <c r="G9" s="24">
        <f t="shared" si="2"/>
        <v>5.9920588799999983</v>
      </c>
      <c r="H9" s="24">
        <f t="shared" si="2"/>
        <v>7.5140418355199987</v>
      </c>
      <c r="I9" s="24">
        <f t="shared" si="2"/>
        <v>8.415726855782399</v>
      </c>
      <c r="J9" s="24">
        <f t="shared" si="2"/>
        <v>9.2572995413606414</v>
      </c>
      <c r="K9" s="24">
        <f t="shared" si="2"/>
        <v>9.9978835046694936</v>
      </c>
    </row>
    <row r="10" spans="1:11" x14ac:dyDescent="0.2">
      <c r="A10" s="23" t="s">
        <v>56</v>
      </c>
      <c r="B10" s="20">
        <f>B9*'1. Assumptions'!B20</f>
        <v>0.44688</v>
      </c>
      <c r="C10" s="20">
        <f>C9*'1. Assumptions'!B20</f>
        <v>0.57200639999999991</v>
      </c>
      <c r="D10" s="20">
        <f>D9*'1. Assumptions'!B20</f>
        <v>0.71500799999999998</v>
      </c>
      <c r="E10" s="20">
        <f>E9*'1. Assumptions'!B20</f>
        <v>0.919296</v>
      </c>
      <c r="F10" s="20">
        <f>F9*'1. Assumptions'!B20</f>
        <v>1.0847692799999997</v>
      </c>
      <c r="G10" s="20">
        <f>G9*'1. Assumptions'!B20</f>
        <v>1.2583323647999995</v>
      </c>
      <c r="H10" s="20">
        <f>H9*'1. Assumptions'!B20</f>
        <v>1.5779487854591996</v>
      </c>
      <c r="I10" s="20">
        <f>I9*'1. Assumptions'!B20</f>
        <v>1.7673026397143037</v>
      </c>
      <c r="J10" s="20">
        <f>J9*'1. Assumptions'!B20</f>
        <v>1.9440329036857347</v>
      </c>
      <c r="K10" s="20">
        <f>K9*'1. Assumptions'!B20</f>
        <v>2.0995555359805937</v>
      </c>
    </row>
    <row r="11" spans="1:11" x14ac:dyDescent="0.2">
      <c r="A11" s="19" t="s">
        <v>57</v>
      </c>
      <c r="B11" s="24">
        <f>B9-B10</f>
        <v>1.6811200000000002</v>
      </c>
      <c r="C11" s="24">
        <f t="shared" ref="C11:K11" si="3">C9-C10</f>
        <v>2.1518335999999998</v>
      </c>
      <c r="D11" s="24">
        <f t="shared" si="3"/>
        <v>2.6897919999999997</v>
      </c>
      <c r="E11" s="24">
        <f t="shared" si="3"/>
        <v>3.458304</v>
      </c>
      <c r="F11" s="24">
        <f t="shared" si="3"/>
        <v>4.0807987199999989</v>
      </c>
      <c r="G11" s="24">
        <f t="shared" si="3"/>
        <v>4.733726515199999</v>
      </c>
      <c r="H11" s="24">
        <f t="shared" si="3"/>
        <v>5.9360930500607996</v>
      </c>
      <c r="I11" s="24">
        <f t="shared" si="3"/>
        <v>6.6484242160680953</v>
      </c>
      <c r="J11" s="24">
        <f t="shared" si="3"/>
        <v>7.3132666376749071</v>
      </c>
      <c r="K11" s="24">
        <f t="shared" si="3"/>
        <v>7.8983279686888999</v>
      </c>
    </row>
    <row r="12" spans="1:11" x14ac:dyDescent="0.2">
      <c r="A12" s="23" t="s">
        <v>58</v>
      </c>
      <c r="B12" s="20">
        <f>B5*'1. Assumptions'!B21</f>
        <v>0.19000000000000003</v>
      </c>
      <c r="C12" s="20">
        <f>C5*'1. Assumptions'!B21</f>
        <v>0.2432</v>
      </c>
      <c r="D12" s="20">
        <f>D5*'1. Assumptions'!B21</f>
        <v>0.30400000000000005</v>
      </c>
      <c r="E12" s="20">
        <f>E5*'1. Assumptions'!B21</f>
        <v>0.36480000000000001</v>
      </c>
      <c r="F12" s="20">
        <f>F5*'1. Assumptions'!B21</f>
        <v>0.43046399999999996</v>
      </c>
      <c r="G12" s="38">
        <f>G5*'1. Assumptions'!B21</f>
        <v>0.49933823999999993</v>
      </c>
      <c r="H12" s="38">
        <f>H5*'1. Assumptions'!B21</f>
        <v>0.56924559359999993</v>
      </c>
      <c r="I12" s="38">
        <f>I5*'1. Assumptions'!B21</f>
        <v>0.63755506483200008</v>
      </c>
      <c r="J12" s="38">
        <f>J5*'1. Assumptions'!B21</f>
        <v>0.70131057131520014</v>
      </c>
      <c r="K12" s="38">
        <f>K5*'1. Assumptions'!B21</f>
        <v>0.75741541702041637</v>
      </c>
    </row>
    <row r="13" spans="1:11" x14ac:dyDescent="0.2">
      <c r="A13" s="21" t="s">
        <v>59</v>
      </c>
      <c r="B13" s="20">
        <f>B5*'1. Assumptions'!B23</f>
        <v>7.6000000000000012E-2</v>
      </c>
      <c r="C13" s="20">
        <f>C5*'1. Assumptions'!B23</f>
        <v>9.7280000000000005E-2</v>
      </c>
      <c r="D13" s="20">
        <f>D5*'1. Assumptions'!B23</f>
        <v>0.1216</v>
      </c>
      <c r="E13" s="20">
        <f>E5*'1. Assumptions'!B23</f>
        <v>0.14591999999999999</v>
      </c>
      <c r="F13" s="20">
        <f>F5*'1. Assumptions'!B23</f>
        <v>0.17218559999999997</v>
      </c>
      <c r="G13" s="38">
        <f>G5*'1. Assumptions'!B23</f>
        <v>0.19973529599999995</v>
      </c>
      <c r="H13" s="38">
        <f>H5*'1. Assumptions'!B23</f>
        <v>0.22769823743999998</v>
      </c>
      <c r="I13" s="38">
        <f>I5*'1. Assumptions'!B23</f>
        <v>0.25502202593279999</v>
      </c>
      <c r="J13" s="38">
        <f>J5*'1. Assumptions'!B23</f>
        <v>0.28052422852608005</v>
      </c>
      <c r="K13" s="38">
        <f>K5*'1. Assumptions'!B23</f>
        <v>0.30296616680816651</v>
      </c>
    </row>
    <row r="14" spans="1:11" x14ac:dyDescent="0.2">
      <c r="A14" s="19" t="s">
        <v>60</v>
      </c>
      <c r="B14" s="24">
        <f>B11+B8-B12-B13</f>
        <v>1.5671200000000001</v>
      </c>
      <c r="C14" s="24">
        <f t="shared" ref="C14:K14" si="4">C11+C8-C12-C13</f>
        <v>2.0059136</v>
      </c>
      <c r="D14" s="24">
        <f t="shared" si="4"/>
        <v>2.5073919999999994</v>
      </c>
      <c r="E14" s="24">
        <f t="shared" si="4"/>
        <v>3.2394240000000001</v>
      </c>
      <c r="F14" s="24">
        <f t="shared" si="4"/>
        <v>3.8225203199999993</v>
      </c>
      <c r="G14" s="24">
        <f t="shared" si="4"/>
        <v>4.4341235711999989</v>
      </c>
      <c r="H14" s="24">
        <f t="shared" si="4"/>
        <v>5.5945456939007991</v>
      </c>
      <c r="I14" s="24">
        <f t="shared" si="4"/>
        <v>6.2658911771688954</v>
      </c>
      <c r="J14" s="24">
        <f t="shared" si="4"/>
        <v>6.8924802948857877</v>
      </c>
      <c r="K14" s="24">
        <f t="shared" si="4"/>
        <v>7.4438787184766504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53EE7-4F40-CD46-8886-D48F292B80E5}">
  <dimension ref="A1:J30"/>
  <sheetViews>
    <sheetView showGridLines="0" workbookViewId="0">
      <selection activeCell="B30" sqref="B30"/>
    </sheetView>
  </sheetViews>
  <sheetFormatPr baseColWidth="10" defaultRowHeight="16" x14ac:dyDescent="0.2"/>
  <cols>
    <col min="1" max="1" width="33.5" customWidth="1"/>
    <col min="2" max="5" width="14" customWidth="1"/>
    <col min="6" max="6" width="14.1640625" customWidth="1"/>
    <col min="7" max="7" width="11.33203125" customWidth="1"/>
    <col min="8" max="8" width="56.1640625" customWidth="1"/>
  </cols>
  <sheetData>
    <row r="1" spans="1:8" ht="36" customHeight="1" x14ac:dyDescent="0.2">
      <c r="A1" s="175" t="s">
        <v>63</v>
      </c>
      <c r="B1" s="175"/>
      <c r="C1" s="175"/>
      <c r="D1" s="175"/>
      <c r="E1" s="175"/>
      <c r="F1" s="175"/>
      <c r="G1" s="175"/>
      <c r="H1" s="175"/>
    </row>
    <row r="2" spans="1:8" ht="18" customHeight="1" x14ac:dyDescent="0.2">
      <c r="A2" s="171" t="s">
        <v>71</v>
      </c>
      <c r="B2" s="171"/>
      <c r="C2" s="171"/>
      <c r="D2" s="171"/>
      <c r="E2" s="171"/>
      <c r="F2" s="171"/>
      <c r="G2" s="171"/>
      <c r="H2" s="171"/>
    </row>
    <row r="4" spans="1:8" ht="24" customHeight="1" x14ac:dyDescent="0.2">
      <c r="A4" s="108" t="s">
        <v>64</v>
      </c>
      <c r="B4" s="108" t="s">
        <v>65</v>
      </c>
      <c r="C4" s="108" t="s">
        <v>48</v>
      </c>
      <c r="D4" s="108" t="s">
        <v>29</v>
      </c>
      <c r="E4" s="108" t="s">
        <v>66</v>
      </c>
      <c r="F4" s="108" t="s">
        <v>22</v>
      </c>
      <c r="G4" s="108" t="s">
        <v>155</v>
      </c>
      <c r="H4" s="109" t="s">
        <v>67</v>
      </c>
    </row>
    <row r="5" spans="1:8" ht="18" customHeight="1" x14ac:dyDescent="0.2">
      <c r="A5" s="173" t="s">
        <v>154</v>
      </c>
      <c r="B5" s="173"/>
      <c r="C5" s="173"/>
      <c r="D5" s="173"/>
      <c r="E5" s="173"/>
      <c r="F5" s="173"/>
      <c r="G5" s="173"/>
      <c r="H5" s="173"/>
    </row>
    <row r="6" spans="1:8" ht="18" customHeight="1" x14ac:dyDescent="0.2">
      <c r="A6" s="16" t="s">
        <v>68</v>
      </c>
      <c r="B6" s="29">
        <v>19.2</v>
      </c>
      <c r="C6" s="29">
        <v>2.76</v>
      </c>
      <c r="D6" s="27">
        <f>B6/C6</f>
        <v>6.9565217391304355</v>
      </c>
      <c r="E6" s="84">
        <v>0.16900000000000001</v>
      </c>
      <c r="F6" s="28">
        <f>1.39/C6</f>
        <v>0.50362318840579712</v>
      </c>
      <c r="G6" s="83">
        <f>E6+F6</f>
        <v>0.67262318840579716</v>
      </c>
      <c r="H6" s="31" t="s">
        <v>73</v>
      </c>
    </row>
    <row r="7" spans="1:8" ht="18" customHeight="1" x14ac:dyDescent="0.2">
      <c r="A7" s="16" t="s">
        <v>70</v>
      </c>
      <c r="B7" s="29">
        <v>1.32</v>
      </c>
      <c r="C7" s="29">
        <v>1.05</v>
      </c>
      <c r="D7" s="27">
        <f>B7/C7</f>
        <v>1.2571428571428571</v>
      </c>
      <c r="E7" s="84">
        <v>0.47</v>
      </c>
      <c r="F7" s="28">
        <f>0.19856/C7</f>
        <v>0.18910476190476189</v>
      </c>
      <c r="G7" s="83">
        <f>E7+F7</f>
        <v>0.65910476190476186</v>
      </c>
      <c r="H7" s="31" t="s">
        <v>156</v>
      </c>
    </row>
    <row r="8" spans="1:8" ht="18" customHeight="1" x14ac:dyDescent="0.2">
      <c r="A8" s="16" t="s">
        <v>69</v>
      </c>
      <c r="B8" s="29">
        <v>33.06</v>
      </c>
      <c r="C8" s="29">
        <v>24.19</v>
      </c>
      <c r="D8" s="27">
        <f>B8/C8</f>
        <v>1.3666804464654816</v>
      </c>
      <c r="E8" s="84">
        <v>3.5999999999999997E-2</v>
      </c>
      <c r="F8" s="28">
        <f>2.07/C8</f>
        <v>8.5572550640760636E-2</v>
      </c>
      <c r="G8" s="83">
        <f>E8+F8</f>
        <v>0.12157255064076064</v>
      </c>
      <c r="H8" s="31" t="s">
        <v>72</v>
      </c>
    </row>
    <row r="9" spans="1:8" ht="15" customHeight="1" x14ac:dyDescent="0.2">
      <c r="A9" s="16"/>
      <c r="B9" s="29"/>
      <c r="C9" s="29"/>
      <c r="D9" s="27"/>
      <c r="E9" s="30"/>
      <c r="F9" s="83"/>
      <c r="G9" s="28"/>
      <c r="H9" s="31"/>
    </row>
    <row r="10" spans="1:8" ht="18" customHeight="1" x14ac:dyDescent="0.2">
      <c r="A10" s="173" t="s">
        <v>157</v>
      </c>
      <c r="B10" s="173"/>
      <c r="C10" s="173"/>
      <c r="D10" s="173"/>
      <c r="E10" s="173"/>
      <c r="F10" s="173"/>
      <c r="G10" s="173"/>
      <c r="H10" s="173"/>
    </row>
    <row r="11" spans="1:8" x14ac:dyDescent="0.2">
      <c r="A11" s="88" t="s">
        <v>158</v>
      </c>
      <c r="B11" s="150">
        <v>598.24</v>
      </c>
      <c r="C11" s="150">
        <v>41.39</v>
      </c>
      <c r="D11" s="92">
        <f>B11/C11</f>
        <v>14.453732785697028</v>
      </c>
      <c r="E11" s="94">
        <v>0.14599999999999999</v>
      </c>
      <c r="F11" s="91">
        <f>28.99/C11</f>
        <v>0.70041072722879916</v>
      </c>
      <c r="G11" s="91">
        <f>E11+F11</f>
        <v>0.84641072722879918</v>
      </c>
      <c r="H11" s="75" t="s">
        <v>161</v>
      </c>
    </row>
    <row r="12" spans="1:8" x14ac:dyDescent="0.2">
      <c r="A12" s="88" t="s">
        <v>159</v>
      </c>
      <c r="B12" s="150">
        <v>457.19</v>
      </c>
      <c r="C12" s="150">
        <v>32.79</v>
      </c>
      <c r="D12" s="92">
        <f>B12/C12</f>
        <v>13.942970417810308</v>
      </c>
      <c r="E12" s="94">
        <v>0.17599999999999999</v>
      </c>
      <c r="F12" s="91">
        <f>20.54/C12</f>
        <v>0.62641049100335466</v>
      </c>
      <c r="G12" s="91">
        <f>E12+F12</f>
        <v>0.80241049100335471</v>
      </c>
      <c r="H12" s="95" t="s">
        <v>162</v>
      </c>
    </row>
    <row r="13" spans="1:8" x14ac:dyDescent="0.2">
      <c r="A13" s="87"/>
      <c r="B13" s="87"/>
      <c r="C13" s="87"/>
      <c r="D13" s="87"/>
      <c r="E13" s="87"/>
      <c r="F13" s="87"/>
      <c r="G13" s="87"/>
      <c r="H13" s="25"/>
    </row>
    <row r="14" spans="1:8" ht="17" customHeight="1" x14ac:dyDescent="0.2">
      <c r="A14" s="173" t="s">
        <v>163</v>
      </c>
      <c r="B14" s="173"/>
      <c r="C14" s="173"/>
      <c r="D14" s="173"/>
      <c r="E14" s="173"/>
      <c r="F14" s="173"/>
      <c r="G14" s="173"/>
      <c r="H14" s="173"/>
    </row>
    <row r="15" spans="1:8" ht="15" customHeight="1" x14ac:dyDescent="0.2">
      <c r="A15" s="88" t="s">
        <v>74</v>
      </c>
      <c r="B15" s="151">
        <v>140.97999999999999</v>
      </c>
      <c r="C15" s="151">
        <v>11.56</v>
      </c>
      <c r="D15" s="98">
        <f>B15/C15</f>
        <v>12.195501730103805</v>
      </c>
      <c r="E15" s="96">
        <v>0.30599999999999999</v>
      </c>
      <c r="F15" s="97">
        <f>1.93/C15</f>
        <v>0.16695501730103804</v>
      </c>
      <c r="G15" s="97">
        <f>E15+F15</f>
        <v>0.47295501730103806</v>
      </c>
      <c r="H15" s="75" t="s">
        <v>165</v>
      </c>
    </row>
    <row r="16" spans="1:8" x14ac:dyDescent="0.2">
      <c r="A16" s="88" t="s">
        <v>164</v>
      </c>
      <c r="B16" s="151">
        <v>40.93</v>
      </c>
      <c r="C16" s="151">
        <v>33.17</v>
      </c>
      <c r="D16" s="98">
        <f>B16/C16</f>
        <v>1.2339463370515524</v>
      </c>
      <c r="E16" s="96">
        <v>3.6999999999999998E-2</v>
      </c>
      <c r="F16" s="99">
        <f>6.65/C16</f>
        <v>0.20048236358154958</v>
      </c>
      <c r="G16" s="99">
        <f>E16+F16</f>
        <v>0.23748236358154959</v>
      </c>
      <c r="H16" s="95" t="s">
        <v>166</v>
      </c>
    </row>
    <row r="17" spans="1:10" x14ac:dyDescent="0.2">
      <c r="A17" s="100"/>
      <c r="B17" s="101"/>
      <c r="C17" s="101"/>
      <c r="D17" s="102"/>
      <c r="E17" s="103"/>
      <c r="F17" s="103"/>
      <c r="G17" s="103"/>
    </row>
    <row r="18" spans="1:10" x14ac:dyDescent="0.2">
      <c r="A18" s="174" t="s">
        <v>167</v>
      </c>
      <c r="B18" s="174"/>
      <c r="C18" s="174"/>
      <c r="D18" s="174"/>
      <c r="E18" s="174"/>
      <c r="F18" s="174"/>
      <c r="G18" s="174"/>
      <c r="H18" s="174"/>
    </row>
    <row r="19" spans="1:10" x14ac:dyDescent="0.2">
      <c r="A19" s="39" t="s">
        <v>168</v>
      </c>
      <c r="B19" s="38">
        <f t="shared" ref="B19:G19" si="0">AVERAGE(B6:B8,B11:B12,B15:B16)</f>
        <v>184.41714285714286</v>
      </c>
      <c r="C19" s="38">
        <f t="shared" si="0"/>
        <v>20.98714285714286</v>
      </c>
      <c r="D19" s="27">
        <f t="shared" si="0"/>
        <v>7.3437851876287823</v>
      </c>
      <c r="E19" s="83">
        <f t="shared" si="0"/>
        <v>0.19142857142857145</v>
      </c>
      <c r="F19" s="28">
        <f t="shared" si="0"/>
        <v>0.35322272858086595</v>
      </c>
      <c r="G19" s="28">
        <f t="shared" si="0"/>
        <v>0.54465130000943729</v>
      </c>
      <c r="H19" s="39"/>
    </row>
    <row r="20" spans="1:10" x14ac:dyDescent="0.2">
      <c r="A20" s="39" t="s">
        <v>169</v>
      </c>
      <c r="B20" s="38">
        <f t="shared" ref="B20:G20" si="1">MEDIAN(B6:B8,B11:B12,B15:B16)</f>
        <v>40.93</v>
      </c>
      <c r="C20" s="38">
        <f t="shared" si="1"/>
        <v>24.19</v>
      </c>
      <c r="D20" s="27">
        <f t="shared" si="1"/>
        <v>6.9565217391304355</v>
      </c>
      <c r="E20" s="83">
        <f t="shared" si="1"/>
        <v>0.16900000000000001</v>
      </c>
      <c r="F20" s="28">
        <f t="shared" si="1"/>
        <v>0.20048236358154958</v>
      </c>
      <c r="G20" s="28">
        <f t="shared" si="1"/>
        <v>0.65910476190476186</v>
      </c>
      <c r="H20" s="39"/>
    </row>
    <row r="21" spans="1:10" x14ac:dyDescent="0.2">
      <c r="A21" s="39" t="s">
        <v>170</v>
      </c>
      <c r="B21" s="38">
        <f t="shared" ref="B21:G21" si="2">AVERAGE(B6,B15)</f>
        <v>80.089999999999989</v>
      </c>
      <c r="C21" s="38">
        <f t="shared" si="2"/>
        <v>7.16</v>
      </c>
      <c r="D21" s="27">
        <f t="shared" si="2"/>
        <v>9.5760117346171203</v>
      </c>
      <c r="E21" s="83">
        <f t="shared" si="2"/>
        <v>0.23749999999999999</v>
      </c>
      <c r="F21" s="28">
        <f t="shared" si="2"/>
        <v>0.33528910285341756</v>
      </c>
      <c r="G21" s="28">
        <f t="shared" si="2"/>
        <v>0.57278910285341755</v>
      </c>
      <c r="H21" s="39"/>
    </row>
    <row r="23" spans="1:10" x14ac:dyDescent="0.2">
      <c r="A23" s="172" t="s">
        <v>75</v>
      </c>
      <c r="B23" s="172"/>
      <c r="C23" s="172"/>
      <c r="D23" s="172"/>
      <c r="E23" s="172"/>
      <c r="F23" s="172"/>
      <c r="G23" s="172"/>
      <c r="H23" s="172"/>
    </row>
    <row r="24" spans="1:10" x14ac:dyDescent="0.2">
      <c r="A24" s="16" t="s">
        <v>76</v>
      </c>
      <c r="B24" s="152">
        <v>159</v>
      </c>
      <c r="C24" s="20">
        <f xml:space="preserve"> 5.11 * 126.5%</f>
        <v>6.4641500000000001</v>
      </c>
      <c r="D24" s="34">
        <f>B24/C24</f>
        <v>24.597201488208039</v>
      </c>
      <c r="E24" s="35">
        <v>0.26500000000000001</v>
      </c>
      <c r="F24" s="35">
        <v>0.2</v>
      </c>
      <c r="G24" s="83">
        <f>E24+F24</f>
        <v>0.46500000000000002</v>
      </c>
      <c r="H24" s="142" t="s">
        <v>81</v>
      </c>
      <c r="I24" s="176"/>
      <c r="J24" s="176"/>
    </row>
    <row r="26" spans="1:10" x14ac:dyDescent="0.2">
      <c r="A26" s="172" t="s">
        <v>77</v>
      </c>
      <c r="B26" s="172"/>
      <c r="C26" s="119"/>
      <c r="D26" s="119"/>
      <c r="E26" s="119"/>
      <c r="F26" s="119"/>
      <c r="G26" s="119"/>
      <c r="H26" s="119"/>
    </row>
    <row r="27" spans="1:10" x14ac:dyDescent="0.2">
      <c r="A27" s="10" t="s">
        <v>78</v>
      </c>
      <c r="B27" s="37">
        <f>'3. Financial Forecast'!C5</f>
        <v>9.7279999999999998</v>
      </c>
    </row>
    <row r="28" spans="1:10" x14ac:dyDescent="0.2">
      <c r="A28" s="10" t="s">
        <v>79</v>
      </c>
      <c r="B28" s="34">
        <f>'1. Assumptions'!B32</f>
        <v>18</v>
      </c>
    </row>
    <row r="29" spans="1:10" x14ac:dyDescent="0.2">
      <c r="A29" s="16" t="s">
        <v>80</v>
      </c>
      <c r="B29" s="36">
        <f>B27*B28</f>
        <v>175.10399999999998</v>
      </c>
    </row>
    <row r="30" spans="1:10" x14ac:dyDescent="0.2">
      <c r="A30" s="49"/>
      <c r="B30" s="129"/>
    </row>
  </sheetData>
  <mergeCells count="9">
    <mergeCell ref="A1:H1"/>
    <mergeCell ref="A2:H2"/>
    <mergeCell ref="I24:J24"/>
    <mergeCell ref="A26:B26"/>
    <mergeCell ref="A5:H5"/>
    <mergeCell ref="A10:H10"/>
    <mergeCell ref="A14:H14"/>
    <mergeCell ref="A18:H18"/>
    <mergeCell ref="A23:H2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C6641-D9CE-F742-AE8B-5420969FF238}">
  <dimension ref="A1:L27"/>
  <sheetViews>
    <sheetView showGridLines="0" workbookViewId="0">
      <selection activeCell="A17" sqref="A17:K17"/>
    </sheetView>
  </sheetViews>
  <sheetFormatPr baseColWidth="10" defaultRowHeight="16" x14ac:dyDescent="0.2"/>
  <cols>
    <col min="1" max="1" width="30" customWidth="1"/>
    <col min="2" max="11" width="13" customWidth="1"/>
    <col min="12" max="12" width="25.33203125" customWidth="1"/>
  </cols>
  <sheetData>
    <row r="1" spans="1:12" ht="36" customHeight="1" x14ac:dyDescent="0.2">
      <c r="A1" s="175" t="s">
        <v>84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</row>
    <row r="2" spans="1:12" ht="18" customHeight="1" x14ac:dyDescent="0.2">
      <c r="A2" s="171" t="s">
        <v>82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</row>
    <row r="3" spans="1:12" ht="15" customHeight="1" x14ac:dyDescent="0.2"/>
    <row r="4" spans="1:12" ht="21" customHeight="1" x14ac:dyDescent="0.2">
      <c r="A4" s="179" t="s">
        <v>83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</row>
    <row r="5" spans="1:12" ht="19" customHeight="1" x14ac:dyDescent="0.2">
      <c r="A5" s="9" t="s">
        <v>43</v>
      </c>
      <c r="B5" s="9" t="s">
        <v>61</v>
      </c>
      <c r="C5" s="9" t="s">
        <v>35</v>
      </c>
      <c r="D5" s="9" t="s">
        <v>36</v>
      </c>
      <c r="E5" s="9" t="s">
        <v>37</v>
      </c>
      <c r="F5" s="9" t="s">
        <v>104</v>
      </c>
      <c r="G5" s="9" t="s">
        <v>149</v>
      </c>
      <c r="H5" s="9" t="s">
        <v>150</v>
      </c>
      <c r="I5" s="9" t="s">
        <v>151</v>
      </c>
      <c r="J5" s="9" t="s">
        <v>152</v>
      </c>
      <c r="K5" s="9" t="s">
        <v>153</v>
      </c>
      <c r="L5" s="9" t="s">
        <v>67</v>
      </c>
    </row>
    <row r="6" spans="1:12" x14ac:dyDescent="0.2">
      <c r="A6" s="10" t="s">
        <v>53</v>
      </c>
      <c r="B6" s="38">
        <f>'3. Financial Forecast'!B6</f>
        <v>2.2800000000000002</v>
      </c>
      <c r="C6" s="38">
        <f>'3. Financial Forecast'!C6</f>
        <v>2.9183999999999997</v>
      </c>
      <c r="D6" s="38">
        <f>'3. Financial Forecast'!D6</f>
        <v>3.6479999999999997</v>
      </c>
      <c r="E6" s="38">
        <f>'3. Financial Forecast'!E6</f>
        <v>4.6694399999999998</v>
      </c>
      <c r="F6" s="38">
        <f>'3. Financial Forecast'!F6</f>
        <v>5.5099391999999989</v>
      </c>
      <c r="G6" s="38">
        <f>'3. Financial Forecast'!G6</f>
        <v>6.3915294719999984</v>
      </c>
      <c r="H6" s="38">
        <f>'3. Financial Forecast'!H6</f>
        <v>7.9694383103999984</v>
      </c>
      <c r="I6" s="38">
        <f>'3. Financial Forecast'!I6</f>
        <v>8.9257709076479994</v>
      </c>
      <c r="J6" s="38">
        <f>'3. Financial Forecast'!J6</f>
        <v>9.8183479984128006</v>
      </c>
      <c r="K6" s="38">
        <f>'3. Financial Forecast'!K6</f>
        <v>10.603815838285827</v>
      </c>
      <c r="L6" s="45" t="s">
        <v>85</v>
      </c>
    </row>
    <row r="7" spans="1:12" x14ac:dyDescent="0.2">
      <c r="A7" s="10" t="s">
        <v>56</v>
      </c>
      <c r="B7" s="38">
        <f>-'3. Financial Forecast'!B10</f>
        <v>-0.44688</v>
      </c>
      <c r="C7" s="38">
        <f>-'3. Financial Forecast'!C10</f>
        <v>-0.57200639999999991</v>
      </c>
      <c r="D7" s="38">
        <f>-'3. Financial Forecast'!D10</f>
        <v>-0.71500799999999998</v>
      </c>
      <c r="E7" s="38">
        <f>-'3. Financial Forecast'!E10</f>
        <v>-0.919296</v>
      </c>
      <c r="F7" s="38">
        <f>-'3. Financial Forecast'!F10</f>
        <v>-1.0847692799999997</v>
      </c>
      <c r="G7" s="38">
        <f>-'3. Financial Forecast'!G10</f>
        <v>-1.2583323647999995</v>
      </c>
      <c r="H7" s="38">
        <f>-'3. Financial Forecast'!H10</f>
        <v>-1.5779487854591996</v>
      </c>
      <c r="I7" s="38">
        <f>-'3. Financial Forecast'!I10</f>
        <v>-1.7673026397143037</v>
      </c>
      <c r="J7" s="38">
        <f>-'3. Financial Forecast'!J10</f>
        <v>-1.9440329036857347</v>
      </c>
      <c r="K7" s="38">
        <f>-'3. Financial Forecast'!K10</f>
        <v>-2.0995555359805937</v>
      </c>
      <c r="L7" s="45" t="s">
        <v>86</v>
      </c>
    </row>
    <row r="8" spans="1:12" x14ac:dyDescent="0.2">
      <c r="A8" s="10" t="s">
        <v>58</v>
      </c>
      <c r="B8" s="38">
        <f>-'3. Financial Forecast'!B12</f>
        <v>-0.19000000000000003</v>
      </c>
      <c r="C8" s="38">
        <f>-'3. Financial Forecast'!C12</f>
        <v>-0.2432</v>
      </c>
      <c r="D8" s="38">
        <f>-'3. Financial Forecast'!D12</f>
        <v>-0.30400000000000005</v>
      </c>
      <c r="E8" s="38">
        <f>-'3. Financial Forecast'!E12</f>
        <v>-0.36480000000000001</v>
      </c>
      <c r="F8" s="38">
        <f>-'3. Financial Forecast'!F12</f>
        <v>-0.43046399999999996</v>
      </c>
      <c r="G8" s="38">
        <f>-'3. Financial Forecast'!G12</f>
        <v>-0.49933823999999993</v>
      </c>
      <c r="H8" s="38">
        <f>-'3. Financial Forecast'!H12</f>
        <v>-0.56924559359999993</v>
      </c>
      <c r="I8" s="38">
        <f>-'3. Financial Forecast'!I12</f>
        <v>-0.63755506483200008</v>
      </c>
      <c r="J8" s="38">
        <f>-'3. Financial Forecast'!J12</f>
        <v>-0.70131057131520014</v>
      </c>
      <c r="K8" s="38">
        <f>-'3. Financial Forecast'!K12</f>
        <v>-0.75741541702041637</v>
      </c>
      <c r="L8" s="45" t="s">
        <v>87</v>
      </c>
    </row>
    <row r="9" spans="1:12" x14ac:dyDescent="0.2">
      <c r="A9" s="10" t="s">
        <v>59</v>
      </c>
      <c r="B9" s="38">
        <f>-'3. Financial Forecast'!B13</f>
        <v>-7.6000000000000012E-2</v>
      </c>
      <c r="C9" s="38">
        <f>-'3. Financial Forecast'!C13</f>
        <v>-9.7280000000000005E-2</v>
      </c>
      <c r="D9" s="38">
        <f>-'3. Financial Forecast'!D13</f>
        <v>-0.1216</v>
      </c>
      <c r="E9" s="38">
        <f>-'3. Financial Forecast'!E13</f>
        <v>-0.14591999999999999</v>
      </c>
      <c r="F9" s="38">
        <f>-'3. Financial Forecast'!F13</f>
        <v>-0.17218559999999997</v>
      </c>
      <c r="G9" s="38">
        <f>-'3. Financial Forecast'!G13</f>
        <v>-0.19973529599999995</v>
      </c>
      <c r="H9" s="38">
        <f>-'3. Financial Forecast'!H13</f>
        <v>-0.22769823743999998</v>
      </c>
      <c r="I9" s="38">
        <f>-'3. Financial Forecast'!I13</f>
        <v>-0.25502202593279999</v>
      </c>
      <c r="J9" s="38">
        <f>-'3. Financial Forecast'!J13</f>
        <v>-0.28052422852608005</v>
      </c>
      <c r="K9" s="38">
        <f>-'3. Financial Forecast'!K13</f>
        <v>-0.30296616680816651</v>
      </c>
      <c r="L9" s="45" t="s">
        <v>88</v>
      </c>
    </row>
    <row r="10" spans="1:12" x14ac:dyDescent="0.2">
      <c r="A10" s="10" t="s">
        <v>55</v>
      </c>
      <c r="B10" s="38">
        <f>'3. Financial Forecast'!B8</f>
        <v>0.15200000000000002</v>
      </c>
      <c r="C10" s="38">
        <f>'3. Financial Forecast'!C8</f>
        <v>0.19456000000000001</v>
      </c>
      <c r="D10" s="38">
        <f>'3. Financial Forecast'!D8</f>
        <v>0.2432</v>
      </c>
      <c r="E10" s="38">
        <f>'3. Financial Forecast'!E8</f>
        <v>0.29183999999999999</v>
      </c>
      <c r="F10" s="38">
        <f>'3. Financial Forecast'!F8</f>
        <v>0.34437119999999993</v>
      </c>
      <c r="G10" s="38">
        <f>'3. Financial Forecast'!G8</f>
        <v>0.3994705919999999</v>
      </c>
      <c r="H10" s="38">
        <f>'3. Financial Forecast'!H8</f>
        <v>0.45539647487999996</v>
      </c>
      <c r="I10" s="38">
        <f>'3. Financial Forecast'!I8</f>
        <v>0.51004405186559998</v>
      </c>
      <c r="J10" s="38">
        <f>'3. Financial Forecast'!J8</f>
        <v>0.56104845705216011</v>
      </c>
      <c r="K10" s="38">
        <f>'3. Financial Forecast'!K8</f>
        <v>0.60593233361633303</v>
      </c>
      <c r="L10" s="45" t="s">
        <v>89</v>
      </c>
    </row>
    <row r="11" spans="1:12" x14ac:dyDescent="0.2">
      <c r="A11" s="16" t="s">
        <v>60</v>
      </c>
      <c r="B11" s="82">
        <f>'3. Financial Forecast'!B14</f>
        <v>1.5671200000000001</v>
      </c>
      <c r="C11" s="82">
        <f>'3. Financial Forecast'!C14</f>
        <v>2.0059136</v>
      </c>
      <c r="D11" s="82">
        <f>'3. Financial Forecast'!D14</f>
        <v>2.5073919999999994</v>
      </c>
      <c r="E11" s="82">
        <f>'3. Financial Forecast'!E14</f>
        <v>3.2394240000000001</v>
      </c>
      <c r="F11" s="82">
        <f>'3. Financial Forecast'!F14</f>
        <v>3.8225203199999993</v>
      </c>
      <c r="G11" s="82">
        <f>'3. Financial Forecast'!G14</f>
        <v>4.4341235711999989</v>
      </c>
      <c r="H11" s="82">
        <f>'3. Financial Forecast'!H14</f>
        <v>5.5945456939007991</v>
      </c>
      <c r="I11" s="82">
        <f>'3. Financial Forecast'!I14</f>
        <v>6.2658911771688954</v>
      </c>
      <c r="J11" s="82">
        <f>'3. Financial Forecast'!J14</f>
        <v>6.8924802948857877</v>
      </c>
      <c r="K11" s="82">
        <f>'3. Financial Forecast'!K14</f>
        <v>7.4438787184766504</v>
      </c>
      <c r="L11" s="45" t="s">
        <v>90</v>
      </c>
    </row>
    <row r="13" spans="1:12" ht="21" customHeight="1" x14ac:dyDescent="0.2">
      <c r="A13" s="177" t="s">
        <v>91</v>
      </c>
      <c r="B13" s="178"/>
      <c r="C13" s="178"/>
      <c r="D13" s="178"/>
      <c r="E13" s="178"/>
      <c r="F13" s="178"/>
      <c r="G13" s="178"/>
      <c r="H13" s="178"/>
      <c r="I13" s="178"/>
      <c r="J13" s="178"/>
      <c r="K13" s="178"/>
      <c r="L13" s="178"/>
    </row>
    <row r="14" spans="1:12" ht="19" customHeight="1" x14ac:dyDescent="0.2">
      <c r="A14" s="9" t="s">
        <v>92</v>
      </c>
      <c r="B14" s="9" t="s">
        <v>61</v>
      </c>
      <c r="C14" s="9" t="s">
        <v>35</v>
      </c>
      <c r="D14" s="9" t="s">
        <v>36</v>
      </c>
      <c r="E14" s="9" t="s">
        <v>37</v>
      </c>
      <c r="F14" s="9" t="s">
        <v>104</v>
      </c>
      <c r="G14" s="9" t="s">
        <v>149</v>
      </c>
      <c r="H14" s="9" t="s">
        <v>150</v>
      </c>
      <c r="I14" s="9" t="s">
        <v>151</v>
      </c>
      <c r="J14" s="9" t="s">
        <v>152</v>
      </c>
      <c r="K14" s="9" t="s">
        <v>153</v>
      </c>
      <c r="L14" s="9" t="s">
        <v>93</v>
      </c>
    </row>
    <row r="15" spans="1:12" x14ac:dyDescent="0.2">
      <c r="A15" s="40" t="s">
        <v>94</v>
      </c>
      <c r="B15" s="47">
        <v>0</v>
      </c>
      <c r="C15" s="47">
        <v>1</v>
      </c>
      <c r="D15" s="47">
        <v>2</v>
      </c>
      <c r="E15" s="47">
        <v>3</v>
      </c>
      <c r="F15" s="47">
        <v>4</v>
      </c>
      <c r="G15" s="39">
        <v>5</v>
      </c>
      <c r="H15" s="104">
        <v>6</v>
      </c>
      <c r="I15" s="104">
        <v>7</v>
      </c>
      <c r="J15" s="104">
        <v>8</v>
      </c>
      <c r="K15" s="104">
        <v>9</v>
      </c>
    </row>
    <row r="16" spans="1:12" x14ac:dyDescent="0.2">
      <c r="A16" s="147" t="s">
        <v>95</v>
      </c>
      <c r="B16" s="148">
        <f>1/(1+'1. Assumptions'!B30)^B15</f>
        <v>1</v>
      </c>
      <c r="C16" s="149">
        <f>1/(1+'1. Assumptions'!B30)^C15</f>
        <v>0.89561595987640508</v>
      </c>
      <c r="D16" s="149">
        <f>1/(1+'1. Assumptions'!B30)^D15</f>
        <v>0.80212794758533434</v>
      </c>
      <c r="E16" s="149">
        <f>1/(1+'1. Assumptions'!B30)^E15</f>
        <v>0.71839859172033005</v>
      </c>
      <c r="F16" s="149">
        <f>1/(1+'1. Assumptions'!B30)^F15</f>
        <v>0.64340924429746094</v>
      </c>
      <c r="G16" s="149">
        <f>1/(1+'1. Assumptions'!B30)^G15</f>
        <v>0.57624758792482289</v>
      </c>
      <c r="H16" s="149">
        <f>1/(1+'1. Assumptions'!B30)^H15</f>
        <v>0.51609653658575338</v>
      </c>
      <c r="I16" s="149">
        <f>1/(1+'1. Assumptions'!B30)^I15</f>
        <v>0.46222429500313778</v>
      </c>
      <c r="J16" s="149">
        <f>1/(1+'1. Assumptions'!B30)^J15</f>
        <v>0.41397545564742982</v>
      </c>
      <c r="K16" s="149">
        <f>1/(1+'1. Assumptions'!B30)^K15</f>
        <v>0.37076302507494502</v>
      </c>
    </row>
    <row r="17" spans="1:12" x14ac:dyDescent="0.2">
      <c r="A17" s="147" t="s">
        <v>96</v>
      </c>
      <c r="B17" s="82">
        <f>B11*B16</f>
        <v>1.5671200000000001</v>
      </c>
      <c r="C17" s="82">
        <f t="shared" ref="C17:D17" si="0">C11*C16</f>
        <v>1.7965282342931352</v>
      </c>
      <c r="D17" s="82">
        <f t="shared" si="0"/>
        <v>2.0112491987518863</v>
      </c>
      <c r="E17" s="82">
        <f>E11*E16</f>
        <v>2.3271976395850387</v>
      </c>
      <c r="F17" s="82">
        <f>F11*F16</f>
        <v>2.4594449104028882</v>
      </c>
      <c r="G17" s="82">
        <f t="shared" ref="G17:K17" si="1">G11*G16</f>
        <v>2.5551530124646011</v>
      </c>
      <c r="H17" s="82">
        <f t="shared" si="1"/>
        <v>2.8873256563929428</v>
      </c>
      <c r="I17" s="82">
        <f t="shared" si="1"/>
        <v>2.8962471319332739</v>
      </c>
      <c r="J17" s="82">
        <f t="shared" si="1"/>
        <v>2.8533176706162755</v>
      </c>
      <c r="K17" s="82">
        <f t="shared" si="1"/>
        <v>2.7599149919534081</v>
      </c>
    </row>
    <row r="19" spans="1:12" ht="21" customHeight="1" x14ac:dyDescent="0.2">
      <c r="A19" s="172" t="s">
        <v>97</v>
      </c>
      <c r="B19" s="172"/>
      <c r="C19" s="119"/>
      <c r="D19" s="119"/>
      <c r="E19" s="119"/>
      <c r="F19" s="119"/>
      <c r="G19" s="119"/>
      <c r="H19" s="119"/>
      <c r="I19" s="119"/>
      <c r="J19" s="119"/>
      <c r="K19" s="119"/>
      <c r="L19" s="119"/>
    </row>
    <row r="20" spans="1:12" x14ac:dyDescent="0.2">
      <c r="A20" s="40" t="s">
        <v>98</v>
      </c>
      <c r="B20" s="20">
        <f>'3. Financial Forecast'!K14</f>
        <v>7.4438787184766504</v>
      </c>
    </row>
    <row r="21" spans="1:12" x14ac:dyDescent="0.2">
      <c r="A21" s="40" t="s">
        <v>28</v>
      </c>
      <c r="B21" s="22">
        <f>'1. Assumptions'!B31</f>
        <v>0.03</v>
      </c>
    </row>
    <row r="22" spans="1:12" x14ac:dyDescent="0.2">
      <c r="A22" s="40" t="s">
        <v>27</v>
      </c>
      <c r="B22" s="41">
        <f>'1. Assumptions'!B30</f>
        <v>0.11655000000000001</v>
      </c>
    </row>
    <row r="23" spans="1:12" x14ac:dyDescent="0.2">
      <c r="A23" s="40" t="s">
        <v>99</v>
      </c>
      <c r="B23" s="20">
        <f>B20/('1. Assumptions'!B30-'1. Assumptions'!B31)</f>
        <v>86.006686521971687</v>
      </c>
    </row>
    <row r="24" spans="1:12" x14ac:dyDescent="0.2">
      <c r="A24" s="40" t="s">
        <v>100</v>
      </c>
      <c r="B24" s="20">
        <f>B23/(1+B22)^9</f>
        <v>31.888099271558723</v>
      </c>
    </row>
    <row r="25" spans="1:12" x14ac:dyDescent="0.2">
      <c r="A25" s="40" t="s">
        <v>101</v>
      </c>
      <c r="B25" s="20">
        <f>SUM(B17:K17)</f>
        <v>24.113498446393447</v>
      </c>
    </row>
    <row r="26" spans="1:12" x14ac:dyDescent="0.2">
      <c r="A26" s="40" t="s">
        <v>102</v>
      </c>
      <c r="B26" s="20">
        <f>B24+B25</f>
        <v>56.001597717952166</v>
      </c>
    </row>
    <row r="27" spans="1:12" x14ac:dyDescent="0.2">
      <c r="A27" s="130"/>
      <c r="B27" s="131"/>
    </row>
  </sheetData>
  <mergeCells count="5">
    <mergeCell ref="A13:L13"/>
    <mergeCell ref="A4:L4"/>
    <mergeCell ref="A1:L1"/>
    <mergeCell ref="A2:L2"/>
    <mergeCell ref="A19:B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D9ED6-3200-614A-A2E5-F4F020809EF2}">
  <dimension ref="A1:H53"/>
  <sheetViews>
    <sheetView showGridLines="0" tabSelected="1" zoomScale="69" workbookViewId="0">
      <selection activeCell="C27" sqref="C27"/>
    </sheetView>
  </sheetViews>
  <sheetFormatPr baseColWidth="10" defaultRowHeight="16" x14ac:dyDescent="0.2"/>
  <cols>
    <col min="1" max="1" width="27.1640625" customWidth="1"/>
    <col min="2" max="2" width="20.33203125" customWidth="1"/>
    <col min="3" max="3" width="23.83203125" customWidth="1"/>
    <col min="4" max="7" width="20.33203125" customWidth="1"/>
  </cols>
  <sheetData>
    <row r="1" spans="1:7" ht="36" customHeight="1" x14ac:dyDescent="0.2">
      <c r="A1" s="175" t="s">
        <v>105</v>
      </c>
      <c r="B1" s="175"/>
      <c r="C1" s="175"/>
      <c r="D1" s="175"/>
      <c r="E1" s="175"/>
      <c r="F1" s="175"/>
      <c r="G1" s="175"/>
    </row>
    <row r="2" spans="1:7" ht="18" customHeight="1" x14ac:dyDescent="0.2">
      <c r="A2" s="171" t="s">
        <v>192</v>
      </c>
      <c r="B2" s="171"/>
      <c r="C2" s="171"/>
      <c r="D2" s="171"/>
      <c r="E2" s="171"/>
      <c r="F2" s="171"/>
      <c r="G2" s="171"/>
    </row>
    <row r="4" spans="1:7" ht="21" customHeight="1" x14ac:dyDescent="0.2">
      <c r="A4" s="172" t="s">
        <v>83</v>
      </c>
      <c r="B4" s="172"/>
      <c r="C4" s="172"/>
      <c r="D4" s="172"/>
      <c r="E4" s="119"/>
      <c r="F4" s="119"/>
      <c r="G4" s="119"/>
    </row>
    <row r="5" spans="1:7" x14ac:dyDescent="0.2">
      <c r="A5" s="9" t="s">
        <v>106</v>
      </c>
      <c r="B5" s="9" t="s">
        <v>107</v>
      </c>
      <c r="C5" s="9" t="s">
        <v>108</v>
      </c>
      <c r="D5" s="9" t="s">
        <v>109</v>
      </c>
      <c r="E5" s="86"/>
      <c r="F5" s="86"/>
      <c r="G5" s="86"/>
    </row>
    <row r="6" spans="1:7" x14ac:dyDescent="0.2">
      <c r="A6" s="16" t="s">
        <v>110</v>
      </c>
      <c r="B6" s="38">
        <f>'4. Comparable Companies'!B29</f>
        <v>175.10399999999998</v>
      </c>
      <c r="C6" s="51">
        <v>0.6</v>
      </c>
      <c r="D6" s="38">
        <f>B6*C6</f>
        <v>105.06239999999998</v>
      </c>
      <c r="E6" s="120"/>
      <c r="F6" s="120"/>
      <c r="G6" s="107"/>
    </row>
    <row r="7" spans="1:7" x14ac:dyDescent="0.2">
      <c r="A7" s="16" t="s">
        <v>111</v>
      </c>
      <c r="B7" s="38">
        <f>'5. DCF Valuation '!B26</f>
        <v>56.001597717952166</v>
      </c>
      <c r="C7" s="51">
        <v>0.1</v>
      </c>
      <c r="D7" s="38">
        <f>B7*C7</f>
        <v>5.6001597717952167</v>
      </c>
      <c r="E7" s="120"/>
      <c r="F7" s="120"/>
      <c r="G7" s="107"/>
    </row>
    <row r="8" spans="1:7" x14ac:dyDescent="0.2">
      <c r="A8" s="16" t="s">
        <v>112</v>
      </c>
      <c r="B8" s="29">
        <v>210</v>
      </c>
      <c r="C8" s="51">
        <v>0.3</v>
      </c>
      <c r="D8" s="38">
        <f>B8*C8</f>
        <v>63</v>
      </c>
      <c r="E8" s="120"/>
      <c r="F8" s="120"/>
      <c r="G8" s="107"/>
    </row>
    <row r="9" spans="1:7" x14ac:dyDescent="0.2">
      <c r="A9" s="26" t="s">
        <v>113</v>
      </c>
      <c r="B9" s="50"/>
      <c r="C9" s="50"/>
      <c r="D9" s="32">
        <f>SUM(D6:D8)</f>
        <v>173.6625597717952</v>
      </c>
      <c r="E9" s="120"/>
      <c r="F9" s="120"/>
      <c r="G9" s="107"/>
    </row>
    <row r="10" spans="1:7" x14ac:dyDescent="0.2">
      <c r="A10" s="16" t="s">
        <v>114</v>
      </c>
      <c r="B10" s="38">
        <f>'4. Comparable Companies'!B24</f>
        <v>159</v>
      </c>
      <c r="C10" s="38"/>
      <c r="D10" s="38"/>
      <c r="E10" s="120"/>
      <c r="F10" s="120"/>
      <c r="G10" s="107"/>
    </row>
    <row r="11" spans="1:7" x14ac:dyDescent="0.2">
      <c r="A11" s="16" t="s">
        <v>7</v>
      </c>
      <c r="B11" s="28">
        <f>D9/B10-1</f>
        <v>9.2217357055315752E-2</v>
      </c>
      <c r="C11" s="38"/>
      <c r="D11" s="38"/>
      <c r="E11" s="120"/>
      <c r="F11" s="120"/>
      <c r="G11" s="107"/>
    </row>
    <row r="12" spans="1:7" x14ac:dyDescent="0.2">
      <c r="A12" s="49"/>
      <c r="B12" s="105"/>
      <c r="C12" s="106"/>
      <c r="D12" s="106"/>
      <c r="E12" s="106"/>
      <c r="F12" s="106"/>
      <c r="G12" s="107"/>
    </row>
    <row r="13" spans="1:7" x14ac:dyDescent="0.2">
      <c r="A13" s="187" t="s">
        <v>171</v>
      </c>
      <c r="B13" s="187"/>
      <c r="C13" s="187"/>
      <c r="D13" s="187"/>
      <c r="E13" s="119"/>
      <c r="F13" s="119"/>
      <c r="G13" s="119"/>
    </row>
    <row r="14" spans="1:7" ht="18" customHeight="1" x14ac:dyDescent="0.2">
      <c r="A14" s="9" t="s">
        <v>43</v>
      </c>
      <c r="B14" s="9" t="s">
        <v>172</v>
      </c>
      <c r="C14" s="9" t="s">
        <v>68</v>
      </c>
      <c r="D14" s="9" t="s">
        <v>74</v>
      </c>
      <c r="E14" s="86"/>
      <c r="F14" s="86"/>
      <c r="G14" s="86"/>
    </row>
    <row r="15" spans="1:7" ht="18" customHeight="1" x14ac:dyDescent="0.2">
      <c r="A15" s="89" t="s">
        <v>173</v>
      </c>
      <c r="B15" s="110">
        <f>'2. TPV + Revenue'!C10</f>
        <v>0.2799999999999998</v>
      </c>
      <c r="C15" s="110">
        <f>'4. Comparable Companies'!E6</f>
        <v>0.16900000000000001</v>
      </c>
      <c r="D15" s="110">
        <f>'4. Comparable Companies'!E15</f>
        <v>0.30599999999999999</v>
      </c>
      <c r="E15" s="115"/>
      <c r="F15" s="115"/>
      <c r="G15" s="115"/>
    </row>
    <row r="16" spans="1:7" ht="18" customHeight="1" x14ac:dyDescent="0.2">
      <c r="A16" s="89" t="s">
        <v>22</v>
      </c>
      <c r="B16" s="110">
        <f>'3. Financial Forecast'!C7</f>
        <v>0.3</v>
      </c>
      <c r="C16" s="91">
        <f>'4. Comparable Companies'!F6</f>
        <v>0.50362318840579712</v>
      </c>
      <c r="D16" s="110">
        <f>'4. Comparable Companies'!F15</f>
        <v>0.16695501730103804</v>
      </c>
      <c r="E16" s="115"/>
      <c r="F16" s="115"/>
      <c r="G16" s="115"/>
    </row>
    <row r="17" spans="1:7" ht="18" customHeight="1" x14ac:dyDescent="0.2">
      <c r="A17" s="88" t="s">
        <v>174</v>
      </c>
      <c r="B17" s="111">
        <f>B15+B16</f>
        <v>0.57999999999999985</v>
      </c>
      <c r="C17" s="90">
        <f>C16+C15</f>
        <v>0.67262318840579716</v>
      </c>
      <c r="D17" s="111">
        <f>D16+D15</f>
        <v>0.47295501730103806</v>
      </c>
      <c r="E17" s="115"/>
      <c r="F17" s="115"/>
      <c r="G17" s="115"/>
    </row>
    <row r="18" spans="1:7" ht="18" customHeight="1" x14ac:dyDescent="0.2">
      <c r="A18" s="89" t="s">
        <v>175</v>
      </c>
      <c r="B18" s="93" t="str">
        <f>IF(B17&gt;=0.5,"Elite",IF(B17&gt;=0.4,"Strong","Below 40"))</f>
        <v>Elite</v>
      </c>
      <c r="C18" s="93" t="str">
        <f>IF(B17&gt;=0.5,"Elite",IF(B17&gt;=0.4,"Strong","Below 40"))</f>
        <v>Elite</v>
      </c>
      <c r="D18" s="93" t="str">
        <f>IF(B17&gt;=0.5,"Elite",IF(B17&gt;=0.4,"Strong","Below 40"))</f>
        <v>Elite</v>
      </c>
      <c r="E18" s="114"/>
      <c r="F18" s="114"/>
      <c r="G18" s="114"/>
    </row>
    <row r="19" spans="1:7" ht="18" customHeight="1" x14ac:dyDescent="0.2">
      <c r="A19" s="112"/>
      <c r="B19" s="113"/>
      <c r="C19" s="113"/>
      <c r="D19" s="113"/>
      <c r="E19" s="114"/>
      <c r="F19" s="114"/>
      <c r="G19" s="114"/>
    </row>
    <row r="20" spans="1:7" ht="18" customHeight="1" x14ac:dyDescent="0.2">
      <c r="A20" s="187" t="s">
        <v>176</v>
      </c>
      <c r="B20" s="187"/>
      <c r="C20" s="187"/>
      <c r="D20" s="119"/>
      <c r="E20" s="119"/>
      <c r="F20" s="119"/>
      <c r="G20" s="119"/>
    </row>
    <row r="21" spans="1:7" x14ac:dyDescent="0.2">
      <c r="A21" s="117" t="s">
        <v>92</v>
      </c>
      <c r="B21" s="117" t="s">
        <v>189</v>
      </c>
      <c r="C21" s="117" t="s">
        <v>67</v>
      </c>
      <c r="D21" s="121"/>
      <c r="E21" s="121"/>
      <c r="F21" s="121"/>
      <c r="G21" s="121"/>
    </row>
    <row r="22" spans="1:7" x14ac:dyDescent="0.2">
      <c r="A22" s="123" t="s">
        <v>177</v>
      </c>
      <c r="B22" s="139">
        <f>D9</f>
        <v>173.6625597717952</v>
      </c>
      <c r="C22" s="95" t="s">
        <v>183</v>
      </c>
      <c r="D22" s="116"/>
      <c r="E22" s="116"/>
      <c r="F22" s="116"/>
      <c r="G22" s="116"/>
    </row>
    <row r="23" spans="1:7" x14ac:dyDescent="0.2">
      <c r="A23" s="123" t="s">
        <v>185</v>
      </c>
      <c r="B23" s="140">
        <f>'1. Assumptions'!B33</f>
        <v>12</v>
      </c>
      <c r="C23" s="95" t="s">
        <v>184</v>
      </c>
      <c r="D23" s="116"/>
      <c r="E23" s="116"/>
      <c r="F23" s="116"/>
      <c r="G23" s="116"/>
    </row>
    <row r="24" spans="1:7" ht="18" customHeight="1" x14ac:dyDescent="0.2">
      <c r="A24" s="123" t="s">
        <v>178</v>
      </c>
      <c r="B24" s="140">
        <v>7</v>
      </c>
      <c r="C24" s="95" t="s">
        <v>187</v>
      </c>
      <c r="D24" s="116"/>
      <c r="E24" s="116"/>
      <c r="F24" s="116"/>
      <c r="G24" s="116"/>
    </row>
    <row r="25" spans="1:7" x14ac:dyDescent="0.2">
      <c r="A25" s="123" t="s">
        <v>179</v>
      </c>
      <c r="B25" s="128">
        <v>0</v>
      </c>
      <c r="C25" s="118"/>
      <c r="D25" s="116"/>
      <c r="E25" s="116"/>
      <c r="F25" s="116"/>
      <c r="G25" s="116"/>
    </row>
    <row r="26" spans="1:7" x14ac:dyDescent="0.2">
      <c r="A26" s="123" t="s">
        <v>190</v>
      </c>
      <c r="B26" s="141">
        <f>B22+B23-B24+B25</f>
        <v>178.6625597717952</v>
      </c>
      <c r="C26" s="118"/>
      <c r="D26" s="116"/>
      <c r="E26" s="116"/>
      <c r="F26" s="116"/>
      <c r="G26" s="116"/>
    </row>
    <row r="27" spans="1:7" x14ac:dyDescent="0.2">
      <c r="A27" s="123" t="s">
        <v>180</v>
      </c>
      <c r="B27" s="138">
        <f>'1. Assumptions'!B34</f>
        <v>2.2999999999999998</v>
      </c>
      <c r="C27" s="95" t="s">
        <v>194</v>
      </c>
      <c r="D27" s="116"/>
      <c r="E27" s="116"/>
      <c r="F27" s="116"/>
      <c r="G27" s="116"/>
    </row>
    <row r="28" spans="1:7" x14ac:dyDescent="0.2">
      <c r="A28" s="123" t="s">
        <v>181</v>
      </c>
      <c r="B28" s="127">
        <f>(B26)/B27</f>
        <v>77.679373813824</v>
      </c>
      <c r="C28" s="95" t="s">
        <v>188</v>
      </c>
      <c r="D28" s="116"/>
      <c r="E28" s="116"/>
      <c r="F28" s="116"/>
      <c r="G28" s="116"/>
    </row>
    <row r="29" spans="1:7" x14ac:dyDescent="0.2">
      <c r="A29" s="122"/>
    </row>
    <row r="30" spans="1:7" x14ac:dyDescent="0.2">
      <c r="A30" s="184" t="s">
        <v>115</v>
      </c>
      <c r="B30" s="185"/>
      <c r="C30" s="185"/>
      <c r="D30" s="185"/>
      <c r="E30" s="185"/>
      <c r="F30" s="185"/>
      <c r="G30" s="186"/>
    </row>
    <row r="31" spans="1:7" x14ac:dyDescent="0.2">
      <c r="A31" s="33" t="s">
        <v>116</v>
      </c>
      <c r="B31" s="53">
        <v>12</v>
      </c>
      <c r="C31" s="53">
        <v>14</v>
      </c>
      <c r="D31" s="53">
        <v>16</v>
      </c>
      <c r="E31" s="53">
        <v>18</v>
      </c>
      <c r="F31" s="53">
        <v>20</v>
      </c>
      <c r="G31" s="53">
        <v>22</v>
      </c>
    </row>
    <row r="32" spans="1:7" x14ac:dyDescent="0.2">
      <c r="A32" s="54">
        <v>8</v>
      </c>
      <c r="B32" s="56">
        <f>A32*B31</f>
        <v>96</v>
      </c>
      <c r="C32" s="56">
        <f>A32*C31</f>
        <v>112</v>
      </c>
      <c r="D32" s="56">
        <f>A32*D31</f>
        <v>128</v>
      </c>
      <c r="E32" s="56">
        <f>A32*E31</f>
        <v>144</v>
      </c>
      <c r="F32" s="56">
        <f>A32*F31</f>
        <v>160</v>
      </c>
      <c r="G32" s="56">
        <f>A32*G31</f>
        <v>176</v>
      </c>
    </row>
    <row r="33" spans="1:8" x14ac:dyDescent="0.2">
      <c r="A33" s="54">
        <v>9</v>
      </c>
      <c r="B33" s="56">
        <f>A33*B31</f>
        <v>108</v>
      </c>
      <c r="C33" s="56">
        <f>A33*C31</f>
        <v>126</v>
      </c>
      <c r="D33" s="56">
        <f>A33*D31</f>
        <v>144</v>
      </c>
      <c r="E33" s="56">
        <f>A33*E31</f>
        <v>162</v>
      </c>
      <c r="F33" s="56">
        <f>A33*F31</f>
        <v>180</v>
      </c>
      <c r="G33" s="56">
        <f>A33*G31</f>
        <v>198</v>
      </c>
    </row>
    <row r="34" spans="1:8" x14ac:dyDescent="0.2">
      <c r="A34" s="54">
        <v>10</v>
      </c>
      <c r="B34" s="56">
        <f>A34*B31</f>
        <v>120</v>
      </c>
      <c r="C34" s="56">
        <f>A34*C31</f>
        <v>140</v>
      </c>
      <c r="D34" s="56">
        <f>A34*D31</f>
        <v>160</v>
      </c>
      <c r="E34" s="56">
        <f>A34*E31</f>
        <v>180</v>
      </c>
      <c r="F34" s="56">
        <f>A34*F31</f>
        <v>200</v>
      </c>
      <c r="G34" s="56">
        <f>A34*G31</f>
        <v>220</v>
      </c>
    </row>
    <row r="35" spans="1:8" x14ac:dyDescent="0.2">
      <c r="A35" s="54">
        <v>11</v>
      </c>
      <c r="B35" s="56">
        <f>A35*B31</f>
        <v>132</v>
      </c>
      <c r="C35" s="56">
        <f>A35*C31</f>
        <v>154</v>
      </c>
      <c r="D35" s="56">
        <f>A35*D31</f>
        <v>176</v>
      </c>
      <c r="E35" s="56">
        <f>A35*E31</f>
        <v>198</v>
      </c>
      <c r="F35" s="56">
        <f>A35*F31</f>
        <v>220</v>
      </c>
      <c r="G35" s="56">
        <f>A35*G31</f>
        <v>242</v>
      </c>
    </row>
    <row r="36" spans="1:8" x14ac:dyDescent="0.2">
      <c r="A36" s="54">
        <v>12</v>
      </c>
      <c r="B36" s="56">
        <f>A36*B31</f>
        <v>144</v>
      </c>
      <c r="C36" s="56">
        <f>A36*C31</f>
        <v>168</v>
      </c>
      <c r="D36" s="56">
        <f>A36*D31</f>
        <v>192</v>
      </c>
      <c r="E36" s="56">
        <f>A36*E31</f>
        <v>216</v>
      </c>
      <c r="F36" s="56">
        <f>A36*F31</f>
        <v>240</v>
      </c>
      <c r="G36" s="56">
        <f>A36*G31</f>
        <v>264</v>
      </c>
    </row>
    <row r="37" spans="1:8" x14ac:dyDescent="0.2">
      <c r="A37" s="52"/>
      <c r="B37" s="48"/>
      <c r="C37" s="48"/>
      <c r="D37" s="48"/>
      <c r="E37" s="48"/>
      <c r="F37" s="48"/>
      <c r="G37" s="48"/>
    </row>
    <row r="38" spans="1:8" x14ac:dyDescent="0.2">
      <c r="A38" s="189" t="s">
        <v>195</v>
      </c>
      <c r="B38" s="189"/>
      <c r="C38" s="189"/>
      <c r="D38" s="189"/>
      <c r="E38" s="189"/>
      <c r="F38" s="189"/>
      <c r="G38" s="189"/>
    </row>
    <row r="39" spans="1:8" x14ac:dyDescent="0.2">
      <c r="A39" s="188" t="s">
        <v>43</v>
      </c>
      <c r="B39" s="190"/>
      <c r="C39" s="190"/>
      <c r="D39" s="190"/>
      <c r="E39" s="190"/>
      <c r="F39" s="190"/>
      <c r="G39" s="190"/>
    </row>
    <row r="40" spans="1:8" x14ac:dyDescent="0.2">
      <c r="A40" s="191" t="s">
        <v>196</v>
      </c>
      <c r="B40" s="192">
        <v>851.2</v>
      </c>
      <c r="C40" s="192">
        <v>899.84</v>
      </c>
      <c r="D40" s="193">
        <v>972.8</v>
      </c>
      <c r="E40" s="192">
        <v>1021.44</v>
      </c>
      <c r="F40" s="192">
        <v>1094.4000000000001</v>
      </c>
      <c r="G40" s="194"/>
      <c r="H40" s="6"/>
    </row>
    <row r="41" spans="1:8" x14ac:dyDescent="0.2">
      <c r="A41" s="195" t="s">
        <v>197</v>
      </c>
      <c r="B41" s="196" t="s">
        <v>205</v>
      </c>
      <c r="C41" s="196" t="s">
        <v>206</v>
      </c>
      <c r="D41" s="197" t="s">
        <v>207</v>
      </c>
      <c r="E41" s="196" t="s">
        <v>208</v>
      </c>
      <c r="F41" s="196" t="s">
        <v>209</v>
      </c>
      <c r="G41" s="194"/>
      <c r="H41" s="6"/>
    </row>
    <row r="42" spans="1:8" x14ac:dyDescent="0.2">
      <c r="A42" s="199" t="s">
        <v>198</v>
      </c>
      <c r="B42" s="200" t="s">
        <v>199</v>
      </c>
      <c r="C42" s="200" t="s">
        <v>200</v>
      </c>
      <c r="D42" s="201" t="s">
        <v>201</v>
      </c>
      <c r="E42" s="201" t="s">
        <v>202</v>
      </c>
      <c r="F42" s="201" t="s">
        <v>203</v>
      </c>
      <c r="G42" s="48"/>
      <c r="H42" s="6"/>
    </row>
    <row r="43" spans="1:8" ht="16" customHeight="1" x14ac:dyDescent="0.2">
      <c r="A43" s="198" t="s">
        <v>204</v>
      </c>
      <c r="B43" s="198"/>
      <c r="C43" s="198"/>
      <c r="D43" s="198"/>
      <c r="E43" s="198"/>
      <c r="F43" s="198"/>
      <c r="G43" s="198"/>
      <c r="H43" s="198"/>
    </row>
    <row r="45" spans="1:8" x14ac:dyDescent="0.2">
      <c r="A45" s="181" t="s">
        <v>117</v>
      </c>
      <c r="B45" s="182"/>
      <c r="C45" s="182"/>
      <c r="D45" s="182"/>
      <c r="E45" s="182"/>
      <c r="F45" s="182"/>
      <c r="G45" s="183"/>
    </row>
    <row r="46" spans="1:8" x14ac:dyDescent="0.2">
      <c r="A46" s="9" t="s">
        <v>118</v>
      </c>
      <c r="B46" s="9" t="s">
        <v>125</v>
      </c>
      <c r="C46" s="9" t="s">
        <v>22</v>
      </c>
      <c r="D46" s="9" t="s">
        <v>126</v>
      </c>
      <c r="E46" s="9" t="s">
        <v>107</v>
      </c>
      <c r="F46" s="60"/>
      <c r="G46" s="60"/>
    </row>
    <row r="47" spans="1:8" x14ac:dyDescent="0.2">
      <c r="A47" s="55" t="s">
        <v>122</v>
      </c>
      <c r="B47" s="63">
        <v>0.18</v>
      </c>
      <c r="C47" s="63">
        <v>0.18</v>
      </c>
      <c r="D47" s="65">
        <v>14</v>
      </c>
      <c r="E47" s="61">
        <f>8.97*'6. Valuation Summary'!D47</f>
        <v>125.58000000000001</v>
      </c>
      <c r="F47" s="57"/>
      <c r="G47" s="57"/>
    </row>
    <row r="48" spans="1:8" x14ac:dyDescent="0.2">
      <c r="A48" s="16" t="s">
        <v>123</v>
      </c>
      <c r="B48" s="28">
        <f>'1. Assumptions'!B6</f>
        <v>0.28000000000000003</v>
      </c>
      <c r="C48" s="28">
        <f>'1. Assumptions'!B17</f>
        <v>0.3</v>
      </c>
      <c r="D48" s="27">
        <f>'1. Assumptions'!B32</f>
        <v>18</v>
      </c>
      <c r="E48" s="61">
        <f>D9</f>
        <v>173.6625597717952</v>
      </c>
      <c r="F48" s="58"/>
      <c r="G48" s="59"/>
    </row>
    <row r="49" spans="1:7" x14ac:dyDescent="0.2">
      <c r="A49" s="16" t="s">
        <v>124</v>
      </c>
      <c r="B49" s="30">
        <v>0.36</v>
      </c>
      <c r="C49" s="30">
        <v>0.32</v>
      </c>
      <c r="D49" s="64">
        <v>20</v>
      </c>
      <c r="E49" s="61">
        <f>10.34*'6. Valuation Summary'!D49</f>
        <v>206.8</v>
      </c>
      <c r="F49" s="58"/>
      <c r="G49" s="59"/>
    </row>
    <row r="50" spans="1:7" x14ac:dyDescent="0.2">
      <c r="A50" s="49"/>
      <c r="B50" s="48"/>
      <c r="C50" s="48"/>
      <c r="D50" s="48"/>
      <c r="E50" s="48"/>
      <c r="F50" s="48"/>
    </row>
    <row r="51" spans="1:7" x14ac:dyDescent="0.2">
      <c r="A51" s="181" t="s">
        <v>127</v>
      </c>
      <c r="B51" s="182"/>
      <c r="C51" s="182"/>
      <c r="D51" s="182"/>
      <c r="E51" s="182"/>
      <c r="F51" s="182"/>
      <c r="G51" s="183"/>
    </row>
    <row r="52" spans="1:7" x14ac:dyDescent="0.2">
      <c r="A52" s="9" t="s">
        <v>119</v>
      </c>
      <c r="B52" s="9" t="s">
        <v>120</v>
      </c>
      <c r="C52" s="9" t="s">
        <v>121</v>
      </c>
      <c r="D52" s="9" t="s">
        <v>128</v>
      </c>
      <c r="E52" s="9"/>
      <c r="F52" s="60"/>
      <c r="G52" s="60"/>
    </row>
    <row r="53" spans="1:7" x14ac:dyDescent="0.2">
      <c r="A53" s="16" t="s">
        <v>129</v>
      </c>
      <c r="B53" s="38">
        <f>B10</f>
        <v>159</v>
      </c>
      <c r="C53" s="62">
        <f>E48</f>
        <v>173.6625597717952</v>
      </c>
      <c r="D53" s="39" t="s">
        <v>130</v>
      </c>
      <c r="E53" s="39"/>
      <c r="F53" s="39"/>
      <c r="G53" s="39"/>
    </row>
  </sheetData>
  <mergeCells count="11">
    <mergeCell ref="A51:G51"/>
    <mergeCell ref="A1:G1"/>
    <mergeCell ref="A2:G2"/>
    <mergeCell ref="A30:G30"/>
    <mergeCell ref="A45:G45"/>
    <mergeCell ref="A13:D13"/>
    <mergeCell ref="A4:D4"/>
    <mergeCell ref="A20:C20"/>
    <mergeCell ref="A43:H43"/>
    <mergeCell ref="A38:G38"/>
    <mergeCell ref="A39:G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Cover</vt:lpstr>
      <vt:lpstr>1. Assumptions</vt:lpstr>
      <vt:lpstr>2. TPV + Revenue</vt:lpstr>
      <vt:lpstr>3. Financial Forecast</vt:lpstr>
      <vt:lpstr>4. Comparable Companies</vt:lpstr>
      <vt:lpstr>5. DCF Valuation </vt:lpstr>
      <vt:lpstr>6. Valuation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Edric Lim</dc:creator>
  <cp:lastModifiedBy>Edric Lim</cp:lastModifiedBy>
  <dcterms:created xsi:type="dcterms:W3CDTF">2026-03-15T11:05:52Z</dcterms:created>
  <dcterms:modified xsi:type="dcterms:W3CDTF">2026-04-16T00:01:46Z</dcterms:modified>
</cp:coreProperties>
</file>